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codeName="ThisWorkbook"/>
  <mc:AlternateContent xmlns:mc="http://schemas.openxmlformats.org/markup-compatibility/2006">
    <mc:Choice Requires="x15">
      <x15ac:absPath xmlns:x15ac="http://schemas.microsoft.com/office/spreadsheetml/2010/11/ac" url="C:\Users\0hg\Documents\"/>
    </mc:Choice>
  </mc:AlternateContent>
  <xr:revisionPtr revIDLastSave="0" documentId="8_{E6592013-5582-495E-85FA-318D0A317AE0}" xr6:coauthVersionLast="47" xr6:coauthVersionMax="47" xr10:uidLastSave="{00000000-0000-0000-0000-000000000000}"/>
  <bookViews>
    <workbookView xWindow="-120" yWindow="-120" windowWidth="29040" windowHeight="15840" tabRatio="722" firstSheet="12" activeTab="12"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ET inputs" sheetId="19" r:id="rId8"/>
    <sheet name="Uncommissioned assets" sheetId="17" r:id="rId9"/>
    <sheet name="Reduction amount" sheetId="22" r:id="rId10"/>
    <sheet name="Headwork assets" sheetId="23" r:id="rId11"/>
    <sheet name="Scheme cost allocation" sheetId="26" r:id="rId12"/>
    <sheet name="Asset exclusions" sheetId="24" r:id="rId13"/>
  </sheets>
  <externalReferences>
    <externalReference r:id="rId14"/>
  </externalReferences>
  <definedNames>
    <definedName name="_xlnm.Print_Area" localSheetId="0">Cover!$B$1:$E$100</definedName>
  </definedNames>
  <calcPr calcId="191029" calcMode="manual"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7" l="1"/>
  <c r="I24" i="17" s="1"/>
  <c r="I25" i="17" s="1"/>
  <c r="I26" i="17" s="1"/>
  <c r="I27" i="17" s="1"/>
  <c r="I28" i="17" s="1"/>
  <c r="I29" i="17" s="1"/>
  <c r="I30" i="17" s="1"/>
  <c r="I31" i="17" s="1"/>
  <c r="I32" i="17" s="1"/>
  <c r="I33" i="17" s="1"/>
  <c r="I34" i="17" s="1"/>
  <c r="I35" i="17" s="1"/>
  <c r="I36" i="17" s="1"/>
  <c r="I37" i="17" s="1"/>
  <c r="I38" i="17" s="1"/>
  <c r="I39" i="17" s="1"/>
  <c r="I40" i="17" s="1"/>
  <c r="I41" i="17" s="1"/>
  <c r="I42" i="17" s="1"/>
  <c r="I43" i="17" s="1"/>
  <c r="I44" i="17" s="1"/>
  <c r="I45" i="17" s="1"/>
  <c r="I46" i="17" s="1"/>
  <c r="I47" i="17" s="1"/>
  <c r="I48" i="17" s="1"/>
  <c r="I49" i="17" s="1"/>
  <c r="I50" i="17" s="1"/>
  <c r="I51" i="17" s="1"/>
  <c r="I52" i="17" s="1"/>
  <c r="I53" i="17" s="1"/>
  <c r="I54" i="17" s="1"/>
  <c r="I55" i="17" s="1"/>
  <c r="I56" i="17" s="1"/>
  <c r="I57" i="17" s="1"/>
  <c r="I58" i="17" s="1"/>
  <c r="I59" i="17" s="1"/>
  <c r="I60" i="17" s="1"/>
  <c r="I61" i="17" s="1"/>
  <c r="I62" i="17" s="1"/>
  <c r="I63" i="17" s="1"/>
  <c r="I64" i="17" s="1"/>
  <c r="I65" i="17" s="1"/>
  <c r="I66" i="17" s="1"/>
  <c r="I67" i="17" s="1"/>
  <c r="I68" i="17" s="1"/>
  <c r="I69" i="17" s="1"/>
  <c r="I70" i="17" s="1"/>
  <c r="I71" i="17" s="1"/>
  <c r="I72" i="17" s="1"/>
  <c r="I73" i="17" s="1"/>
  <c r="I74" i="17" s="1"/>
  <c r="I75" i="17" s="1"/>
  <c r="I76" i="17" s="1"/>
  <c r="I77" i="17" s="1"/>
  <c r="I78" i="17" s="1"/>
  <c r="I79" i="17" s="1"/>
  <c r="I80" i="17" s="1"/>
  <c r="I81" i="17" s="1"/>
  <c r="I82" i="17" s="1"/>
  <c r="I83" i="17" s="1"/>
  <c r="I84" i="17" s="1"/>
  <c r="I85" i="17" s="1"/>
  <c r="I86" i="17" s="1"/>
  <c r="I87" i="17" s="1"/>
  <c r="I88" i="17" s="1"/>
  <c r="I89" i="17" s="1"/>
  <c r="I90" i="17" s="1"/>
  <c r="I91" i="17" s="1"/>
  <c r="I92" i="17" s="1"/>
  <c r="I93" i="17" s="1"/>
  <c r="I94" i="17" s="1"/>
  <c r="I95" i="17" s="1"/>
  <c r="I96" i="17" s="1"/>
  <c r="I97" i="17" s="1"/>
  <c r="I98" i="17" s="1"/>
  <c r="I99" i="17" s="1"/>
  <c r="I100" i="17" s="1"/>
  <c r="I101" i="17" s="1"/>
  <c r="I102" i="17" s="1"/>
  <c r="I103" i="17" s="1"/>
  <c r="I104" i="17" s="1"/>
  <c r="I105" i="17" s="1"/>
  <c r="I106" i="17" s="1"/>
  <c r="I107" i="17" s="1"/>
  <c r="I108" i="17" s="1"/>
  <c r="I109" i="17" s="1"/>
  <c r="I110" i="17" s="1"/>
  <c r="I111" i="17" s="1"/>
  <c r="I112" i="17" s="1"/>
  <c r="I113" i="17" s="1"/>
  <c r="I114" i="17" s="1"/>
  <c r="I115" i="17" s="1"/>
  <c r="I116" i="17" s="1"/>
  <c r="I117" i="17" s="1"/>
  <c r="I118" i="17" s="1"/>
  <c r="I119" i="17" s="1"/>
  <c r="I120" i="17" s="1"/>
  <c r="I121" i="17" s="1"/>
  <c r="I122" i="17" s="1"/>
  <c r="I123" i="17" s="1"/>
  <c r="I124" i="17" s="1"/>
  <c r="I125" i="17" s="1"/>
  <c r="I126" i="17" s="1"/>
  <c r="I127" i="17" s="1"/>
  <c r="I128" i="17" s="1"/>
  <c r="I129" i="17" s="1"/>
  <c r="I130" i="17" s="1"/>
  <c r="I131" i="17" s="1"/>
  <c r="I132" i="17" s="1"/>
  <c r="I133" i="17" s="1"/>
  <c r="I134" i="17" s="1"/>
  <c r="I135" i="17" s="1"/>
  <c r="I136" i="17" s="1"/>
  <c r="I137" i="17" s="1"/>
  <c r="I138" i="17" s="1"/>
  <c r="I139" i="17" s="1"/>
  <c r="I140" i="17" s="1"/>
  <c r="I141" i="17" s="1"/>
  <c r="I142" i="17" s="1"/>
  <c r="I143" i="17" s="1"/>
  <c r="I144" i="17" s="1"/>
  <c r="I145" i="17" s="1"/>
  <c r="I146" i="17" s="1"/>
  <c r="I147" i="17" s="1"/>
  <c r="I148" i="17" s="1"/>
  <c r="I149" i="17" s="1"/>
  <c r="I150" i="17" s="1"/>
  <c r="I151" i="17" s="1"/>
  <c r="I152" i="17" s="1"/>
  <c r="I153" i="17" s="1"/>
  <c r="I154" i="17" s="1"/>
  <c r="I155" i="17" s="1"/>
  <c r="I156" i="17" s="1"/>
  <c r="I157" i="17" s="1"/>
  <c r="I158" i="17" s="1"/>
  <c r="I159" i="17" s="1"/>
  <c r="I160" i="17" s="1"/>
  <c r="I161" i="17" s="1"/>
  <c r="I162" i="17" s="1"/>
  <c r="I163" i="17" s="1"/>
  <c r="I164" i="17" s="1"/>
  <c r="I165" i="17" s="1"/>
  <c r="I166" i="17" s="1"/>
  <c r="I167" i="17" s="1"/>
  <c r="I168" i="17" s="1"/>
  <c r="I169" i="17" s="1"/>
  <c r="I170" i="17" s="1"/>
  <c r="I171" i="17" s="1"/>
  <c r="I172" i="17" s="1"/>
  <c r="I173" i="17" s="1"/>
  <c r="I174" i="17" s="1"/>
  <c r="I175" i="17" s="1"/>
  <c r="I176" i="17" s="1"/>
  <c r="I177" i="17" s="1"/>
  <c r="I178" i="17" s="1"/>
  <c r="I179" i="17" s="1"/>
  <c r="I180" i="17" s="1"/>
  <c r="I181" i="17" s="1"/>
  <c r="I182" i="17" s="1"/>
  <c r="I183" i="17" s="1"/>
  <c r="I184" i="17" s="1"/>
  <c r="I185" i="17" s="1"/>
  <c r="I186" i="17" s="1"/>
  <c r="I187" i="17" s="1"/>
  <c r="I188" i="17" s="1"/>
  <c r="I189" i="17" s="1"/>
  <c r="I190" i="17" s="1"/>
  <c r="I191" i="17" s="1"/>
  <c r="I192" i="17" s="1"/>
  <c r="I193" i="17" s="1"/>
  <c r="I194" i="17" s="1"/>
  <c r="I195" i="17" s="1"/>
  <c r="I196" i="17" s="1"/>
  <c r="I197" i="17" s="1"/>
  <c r="I198" i="17" s="1"/>
  <c r="I199" i="17" s="1"/>
  <c r="I200" i="17" s="1"/>
  <c r="I201" i="17" s="1"/>
  <c r="I202" i="17" s="1"/>
  <c r="I203" i="17" s="1"/>
  <c r="I204" i="17" s="1"/>
  <c r="I205" i="17" s="1"/>
  <c r="I206" i="17" s="1"/>
  <c r="I207" i="17" s="1"/>
  <c r="I208" i="17" s="1"/>
  <c r="I209" i="17" s="1"/>
  <c r="I210" i="17" s="1"/>
  <c r="I211" i="17" s="1"/>
  <c r="I212" i="17" s="1"/>
  <c r="I213" i="17" s="1"/>
  <c r="I214" i="17" s="1"/>
  <c r="I215" i="17" s="1"/>
  <c r="I216" i="17" s="1"/>
  <c r="I217" i="17" s="1"/>
  <c r="I218" i="17" s="1"/>
  <c r="I219" i="17" s="1"/>
  <c r="I220" i="17" s="1"/>
  <c r="I221" i="17" s="1"/>
  <c r="I222" i="17" s="1"/>
  <c r="I223" i="17" s="1"/>
  <c r="I224" i="17" s="1"/>
  <c r="I225" i="17" s="1"/>
  <c r="I226" i="17" s="1"/>
  <c r="I227" i="17" s="1"/>
  <c r="I228" i="17" s="1"/>
  <c r="I229" i="17" s="1"/>
  <c r="I230" i="17" s="1"/>
  <c r="I231" i="17" s="1"/>
  <c r="I232" i="17" s="1"/>
  <c r="I233" i="17" s="1"/>
  <c r="I234" i="17" s="1"/>
  <c r="I235" i="17" s="1"/>
  <c r="I236" i="17" s="1"/>
  <c r="I237" i="17" s="1"/>
  <c r="I238" i="17" s="1"/>
  <c r="I239" i="17" s="1"/>
  <c r="I240" i="17" s="1"/>
  <c r="I241" i="17" s="1"/>
  <c r="I242" i="17" s="1"/>
  <c r="I243" i="17" s="1"/>
  <c r="I244" i="17" s="1"/>
  <c r="I245" i="17" s="1"/>
  <c r="I246" i="17" s="1"/>
  <c r="I247" i="17" s="1"/>
  <c r="I248" i="17" s="1"/>
  <c r="I249" i="17" s="1"/>
  <c r="I250" i="17" s="1"/>
  <c r="I251" i="17" s="1"/>
  <c r="I252" i="17" s="1"/>
  <c r="I253" i="17" s="1"/>
  <c r="I254" i="17" s="1"/>
  <c r="I255" i="17" s="1"/>
  <c r="I256" i="17" s="1"/>
  <c r="I257" i="17" s="1"/>
  <c r="I258" i="17" s="1"/>
  <c r="I259" i="17" s="1"/>
  <c r="I260" i="17" s="1"/>
  <c r="I261" i="17" s="1"/>
  <c r="I262" i="17" s="1"/>
  <c r="I263" i="17" s="1"/>
  <c r="I264" i="17" s="1"/>
  <c r="I265" i="17" s="1"/>
  <c r="I266" i="17" s="1"/>
  <c r="I267" i="17" s="1"/>
  <c r="I268" i="17" s="1"/>
  <c r="I269" i="17" s="1"/>
  <c r="I270" i="17" s="1"/>
  <c r="I271" i="17" s="1"/>
  <c r="I272" i="17" s="1"/>
  <c r="I273" i="17" s="1"/>
  <c r="I274" i="17" s="1"/>
  <c r="I275" i="17" s="1"/>
  <c r="I276" i="17" s="1"/>
  <c r="I277" i="17" s="1"/>
  <c r="I278" i="17" s="1"/>
  <c r="I279" i="17" s="1"/>
  <c r="I280" i="17" s="1"/>
  <c r="I281" i="17" s="1"/>
  <c r="I282" i="17" s="1"/>
  <c r="I283" i="17" s="1"/>
  <c r="I284" i="17" s="1"/>
  <c r="I285" i="17" s="1"/>
  <c r="I286" i="17" s="1"/>
  <c r="I287" i="17" s="1"/>
  <c r="I288" i="17" s="1"/>
  <c r="I289" i="17" s="1"/>
  <c r="I290" i="17" s="1"/>
  <c r="I291" i="17" s="1"/>
  <c r="I292" i="17" s="1"/>
  <c r="I293" i="17" s="1"/>
  <c r="I294" i="17" s="1"/>
  <c r="I295" i="17" s="1"/>
  <c r="I296" i="17" s="1"/>
  <c r="I297" i="17" s="1"/>
  <c r="I298" i="17" s="1"/>
  <c r="I299" i="17" s="1"/>
  <c r="I300" i="17" s="1"/>
  <c r="I301" i="17" s="1"/>
  <c r="I302" i="17" s="1"/>
  <c r="I303" i="17" s="1"/>
  <c r="I304" i="17" s="1"/>
  <c r="I305" i="17" s="1"/>
  <c r="I306" i="17" s="1"/>
  <c r="I307" i="17" s="1"/>
  <c r="I308" i="17" s="1"/>
  <c r="I309" i="17" s="1"/>
  <c r="I310" i="17" s="1"/>
  <c r="I311" i="17" s="1"/>
  <c r="I312" i="17" s="1"/>
  <c r="I313" i="17" s="1"/>
  <c r="I314" i="17" s="1"/>
  <c r="I315" i="17" s="1"/>
  <c r="I316" i="17" s="1"/>
  <c r="I317" i="17" s="1"/>
  <c r="I318" i="17" s="1"/>
  <c r="I319" i="17" s="1"/>
  <c r="I320" i="17" s="1"/>
  <c r="I321" i="17" s="1"/>
  <c r="I322" i="17" s="1"/>
  <c r="I323" i="17" s="1"/>
  <c r="I324" i="17" s="1"/>
  <c r="I325" i="17" s="1"/>
  <c r="I326" i="17" s="1"/>
  <c r="I327" i="17" s="1"/>
  <c r="I328" i="17" s="1"/>
  <c r="I329" i="17" s="1"/>
  <c r="I330" i="17" s="1"/>
  <c r="I331" i="17" s="1"/>
  <c r="I332" i="17" s="1"/>
  <c r="I333" i="17" s="1"/>
  <c r="I334" i="17" s="1"/>
  <c r="I335" i="17" s="1"/>
  <c r="I336" i="17" s="1"/>
  <c r="I337" i="17" s="1"/>
  <c r="I338" i="17" s="1"/>
  <c r="I339" i="17" s="1"/>
  <c r="I340" i="17" s="1"/>
  <c r="I341" i="17" s="1"/>
  <c r="I342" i="17" s="1"/>
  <c r="I343" i="17" s="1"/>
  <c r="I344" i="17" s="1"/>
  <c r="I345" i="17" s="1"/>
  <c r="I346" i="17" s="1"/>
  <c r="I347" i="17" s="1"/>
  <c r="I348" i="17" s="1"/>
  <c r="I349" i="17" s="1"/>
  <c r="I350" i="17" s="1"/>
  <c r="I351" i="17" s="1"/>
  <c r="I352" i="17" s="1"/>
  <c r="I353" i="17" s="1"/>
  <c r="I354" i="17" s="1"/>
  <c r="I355" i="17" s="1"/>
  <c r="I356" i="17" s="1"/>
  <c r="I357" i="17" s="1"/>
  <c r="I358" i="17" s="1"/>
  <c r="I359" i="17" s="1"/>
  <c r="I360" i="17" s="1"/>
  <c r="I361" i="17" s="1"/>
  <c r="I362" i="17" s="1"/>
  <c r="I363" i="17" s="1"/>
  <c r="I364" i="17" s="1"/>
  <c r="I365" i="17" s="1"/>
  <c r="I366" i="17" s="1"/>
  <c r="I367" i="17" s="1"/>
  <c r="I368" i="17" s="1"/>
  <c r="I369" i="17" s="1"/>
  <c r="I370" i="17" s="1"/>
  <c r="I371" i="17" s="1"/>
  <c r="I372" i="17" s="1"/>
  <c r="I373" i="17" s="1"/>
  <c r="I374" i="17" s="1"/>
  <c r="I375" i="17" s="1"/>
  <c r="I376" i="17" s="1"/>
  <c r="I377" i="17" s="1"/>
  <c r="I378" i="17" s="1"/>
  <c r="I379" i="17" s="1"/>
  <c r="I380" i="17" s="1"/>
  <c r="I381" i="17" s="1"/>
  <c r="I382" i="17" s="1"/>
  <c r="I383" i="17" s="1"/>
  <c r="I384" i="17" s="1"/>
  <c r="I385" i="17" s="1"/>
  <c r="I386" i="17" s="1"/>
  <c r="I387" i="17" s="1"/>
  <c r="I388" i="17" s="1"/>
  <c r="I389" i="17" s="1"/>
  <c r="I390" i="17" s="1"/>
  <c r="I391" i="17" s="1"/>
  <c r="I392" i="17" s="1"/>
  <c r="I393" i="17" s="1"/>
  <c r="I394" i="17" s="1"/>
  <c r="I395" i="17" s="1"/>
  <c r="I396" i="17" s="1"/>
  <c r="I397" i="17" s="1"/>
  <c r="I398" i="17" s="1"/>
  <c r="I399" i="17" s="1"/>
  <c r="I400" i="17" s="1"/>
  <c r="I401" i="17" s="1"/>
  <c r="I402" i="17" s="1"/>
  <c r="I403" i="17" s="1"/>
  <c r="I404" i="17" s="1"/>
  <c r="I405" i="17" s="1"/>
  <c r="I406" i="17" s="1"/>
  <c r="I407" i="17" s="1"/>
  <c r="I408" i="17" s="1"/>
  <c r="I409" i="17" s="1"/>
  <c r="I410" i="17" s="1"/>
  <c r="I411" i="17" s="1"/>
  <c r="I412" i="17" s="1"/>
  <c r="I413" i="17" s="1"/>
  <c r="I414" i="17" s="1"/>
  <c r="I415" i="17" s="1"/>
  <c r="I416" i="17" s="1"/>
  <c r="I417" i="17" s="1"/>
  <c r="I418" i="17" s="1"/>
  <c r="I419" i="17" s="1"/>
  <c r="I420" i="17" s="1"/>
  <c r="I421" i="17" s="1"/>
  <c r="I422" i="17" s="1"/>
  <c r="I423" i="17" s="1"/>
  <c r="I424" i="17" s="1"/>
  <c r="I425" i="17" s="1"/>
  <c r="I426" i="17" s="1"/>
  <c r="I427" i="17" s="1"/>
  <c r="I428" i="17" s="1"/>
  <c r="I429" i="17" s="1"/>
  <c r="I430" i="17" s="1"/>
  <c r="I431" i="17" s="1"/>
  <c r="I432" i="17" s="1"/>
  <c r="I433" i="17" s="1"/>
  <c r="I434" i="17" s="1"/>
  <c r="I435" i="17" s="1"/>
  <c r="I436" i="17" s="1"/>
  <c r="I437" i="17" s="1"/>
  <c r="I438" i="17" s="1"/>
  <c r="I439" i="17" s="1"/>
  <c r="I440" i="17" s="1"/>
  <c r="I441" i="17" s="1"/>
  <c r="I442" i="17" s="1"/>
  <c r="I443" i="17" s="1"/>
  <c r="I444" i="17" s="1"/>
  <c r="I445" i="17" s="1"/>
  <c r="I446" i="17" s="1"/>
  <c r="I447" i="17" s="1"/>
  <c r="I448" i="17" s="1"/>
  <c r="I449" i="17" s="1"/>
  <c r="I450" i="17" s="1"/>
  <c r="I451" i="17" s="1"/>
  <c r="I452" i="17" s="1"/>
  <c r="I453" i="17" s="1"/>
  <c r="I454" i="17" s="1"/>
  <c r="I455" i="17" s="1"/>
  <c r="I456" i="17" s="1"/>
  <c r="I457" i="17" s="1"/>
  <c r="I458" i="17" s="1"/>
  <c r="I459" i="17" s="1"/>
  <c r="I460" i="17" s="1"/>
  <c r="I461" i="17" s="1"/>
  <c r="I462" i="17" s="1"/>
  <c r="I463" i="17" s="1"/>
  <c r="I464" i="17" s="1"/>
  <c r="I465" i="17" s="1"/>
  <c r="I466" i="17" s="1"/>
  <c r="I467" i="17" s="1"/>
  <c r="I468" i="17" s="1"/>
  <c r="I469" i="17" s="1"/>
  <c r="I470" i="17" s="1"/>
  <c r="I471" i="17" s="1"/>
  <c r="I472" i="17" s="1"/>
  <c r="I473" i="17" s="1"/>
  <c r="I474" i="17" s="1"/>
  <c r="I475" i="17" s="1"/>
  <c r="I476" i="17" s="1"/>
  <c r="I477" i="17" s="1"/>
  <c r="I478" i="17" s="1"/>
  <c r="I479" i="17" s="1"/>
  <c r="I480" i="17" s="1"/>
  <c r="I481" i="17" s="1"/>
  <c r="I482" i="17" s="1"/>
  <c r="I483" i="17" s="1"/>
  <c r="I484" i="17" s="1"/>
  <c r="I485" i="17" s="1"/>
  <c r="I486" i="17" s="1"/>
  <c r="I487" i="17" s="1"/>
  <c r="I488" i="17" s="1"/>
  <c r="I489" i="17" s="1"/>
  <c r="I490" i="17" s="1"/>
  <c r="I491" i="17" s="1"/>
  <c r="I492" i="17" s="1"/>
  <c r="H471" i="17"/>
  <c r="H472" i="17" s="1"/>
  <c r="H473" i="17" s="1"/>
  <c r="H474" i="17" s="1"/>
  <c r="H475" i="17" s="1"/>
  <c r="H476" i="17" s="1"/>
  <c r="H477" i="17" s="1"/>
  <c r="H478" i="17" s="1"/>
  <c r="H479" i="17" s="1"/>
  <c r="H480" i="17" s="1"/>
  <c r="H481" i="17" s="1"/>
  <c r="H482" i="17" s="1"/>
  <c r="J455" i="17"/>
  <c r="J456" i="17" s="1"/>
  <c r="J457" i="17" s="1"/>
  <c r="J458" i="17" s="1"/>
  <c r="J459" i="17" s="1"/>
  <c r="J460" i="17" s="1"/>
  <c r="J461" i="17" s="1"/>
  <c r="J462" i="17" s="1"/>
  <c r="J463" i="17" s="1"/>
  <c r="J464" i="17" s="1"/>
  <c r="J465" i="17" s="1"/>
  <c r="J466" i="17" s="1"/>
  <c r="J467" i="17" s="1"/>
  <c r="J468" i="17" s="1"/>
  <c r="J469" i="17" s="1"/>
  <c r="J470" i="17" s="1"/>
  <c r="J471" i="17" s="1"/>
  <c r="J472" i="17" s="1"/>
  <c r="J473" i="17" s="1"/>
  <c r="J474" i="17" s="1"/>
  <c r="J475" i="17" s="1"/>
  <c r="J476" i="17" s="1"/>
  <c r="J477" i="17" s="1"/>
  <c r="J478" i="17" s="1"/>
  <c r="J479" i="17" s="1"/>
  <c r="J480" i="17" s="1"/>
  <c r="J481" i="17" s="1"/>
  <c r="J482" i="17" s="1"/>
  <c r="J97" i="17" l="1"/>
  <c r="J98" i="17" s="1"/>
  <c r="J99" i="17" s="1"/>
  <c r="J100" i="17" s="1"/>
  <c r="J101" i="17" s="1"/>
  <c r="J102" i="17" s="1"/>
  <c r="J103" i="17" s="1"/>
  <c r="J104" i="17" s="1"/>
  <c r="J105" i="17" s="1"/>
  <c r="J106" i="17" s="1"/>
  <c r="J107" i="17" s="1"/>
  <c r="J108" i="17" s="1"/>
  <c r="J109" i="17" s="1"/>
  <c r="J110" i="17" s="1"/>
  <c r="J111" i="17" s="1"/>
  <c r="J112" i="17" s="1"/>
  <c r="J113" i="17" s="1"/>
  <c r="J114" i="17" s="1"/>
  <c r="J115" i="17" s="1"/>
  <c r="J116" i="17" s="1"/>
  <c r="J117" i="17" s="1"/>
  <c r="J118" i="17" s="1"/>
  <c r="J119" i="17" s="1"/>
  <c r="J120" i="17" s="1"/>
  <c r="J121" i="17" s="1"/>
  <c r="J122" i="17" s="1"/>
  <c r="J123" i="17" s="1"/>
  <c r="J124" i="17" s="1"/>
  <c r="J125" i="17" s="1"/>
  <c r="J126" i="17" s="1"/>
  <c r="J127" i="17" s="1"/>
  <c r="J128" i="17" s="1"/>
  <c r="J129" i="17" s="1"/>
  <c r="J130" i="17" s="1"/>
  <c r="J131" i="17" s="1"/>
  <c r="J132" i="17" s="1"/>
  <c r="J133" i="17" s="1"/>
  <c r="J134" i="17" s="1"/>
  <c r="J135" i="17" s="1"/>
  <c r="J136" i="17" s="1"/>
  <c r="J137" i="17" s="1"/>
  <c r="J138" i="17" s="1"/>
  <c r="J139" i="17" s="1"/>
  <c r="J140" i="17" s="1"/>
  <c r="J141" i="17" s="1"/>
  <c r="J142" i="17" s="1"/>
  <c r="J143" i="17" s="1"/>
  <c r="J144" i="17" s="1"/>
  <c r="J145" i="17" s="1"/>
  <c r="J146" i="17" s="1"/>
  <c r="J147" i="17" s="1"/>
  <c r="J148" i="17" s="1"/>
  <c r="J149" i="17" s="1"/>
  <c r="J150" i="17" s="1"/>
  <c r="J151" i="17" s="1"/>
  <c r="J152" i="17" s="1"/>
  <c r="J153" i="17" s="1"/>
  <c r="J154" i="17" s="1"/>
  <c r="J155" i="17" s="1"/>
  <c r="J156" i="17" s="1"/>
  <c r="J157" i="17" s="1"/>
  <c r="J158" i="17" s="1"/>
  <c r="J159" i="17" s="1"/>
  <c r="J160" i="17" s="1"/>
  <c r="J161" i="17" s="1"/>
  <c r="J162" i="17" s="1"/>
  <c r="J163" i="17" s="1"/>
  <c r="J164" i="17" s="1"/>
  <c r="J165" i="17" s="1"/>
  <c r="J166" i="17" s="1"/>
  <c r="J167" i="17" s="1"/>
  <c r="J168" i="17" s="1"/>
  <c r="J169" i="17" s="1"/>
  <c r="J170" i="17" s="1"/>
  <c r="J171" i="17" s="1"/>
  <c r="J172" i="17" s="1"/>
  <c r="J173" i="17" s="1"/>
  <c r="J174" i="17" s="1"/>
  <c r="J175" i="17" s="1"/>
  <c r="J176" i="17" s="1"/>
  <c r="J177" i="17" s="1"/>
  <c r="J178" i="17" s="1"/>
  <c r="J179" i="17" s="1"/>
  <c r="J180" i="17" s="1"/>
  <c r="J181" i="17" s="1"/>
  <c r="J182" i="17" s="1"/>
  <c r="J183" i="17" s="1"/>
  <c r="J184" i="17" s="1"/>
  <c r="J185" i="17" s="1"/>
  <c r="J186" i="17" s="1"/>
  <c r="J187" i="17" s="1"/>
  <c r="J188" i="17" s="1"/>
  <c r="J189" i="17" s="1"/>
  <c r="J190" i="17" s="1"/>
  <c r="J191" i="17" s="1"/>
  <c r="J192" i="17" s="1"/>
  <c r="J193" i="17" s="1"/>
  <c r="J194" i="17" s="1"/>
  <c r="J195" i="17" s="1"/>
  <c r="J196" i="17" s="1"/>
  <c r="J197" i="17" s="1"/>
  <c r="J198" i="17" s="1"/>
  <c r="J199" i="17" s="1"/>
  <c r="J200" i="17" s="1"/>
  <c r="J201" i="17" s="1"/>
  <c r="J202" i="17" s="1"/>
  <c r="J203" i="17" s="1"/>
  <c r="J204" i="17" s="1"/>
  <c r="J205" i="17" s="1"/>
  <c r="J206" i="17" s="1"/>
  <c r="J207" i="17" s="1"/>
  <c r="J208" i="17" s="1"/>
  <c r="J209" i="17" s="1"/>
  <c r="J210" i="17" s="1"/>
  <c r="J211" i="17" s="1"/>
  <c r="J212" i="17" s="1"/>
  <c r="J213" i="17" s="1"/>
  <c r="J214" i="17" s="1"/>
  <c r="H97" i="17"/>
  <c r="H98" i="17" s="1"/>
  <c r="H99" i="17" s="1"/>
  <c r="H100" i="17" s="1"/>
  <c r="H101" i="17" s="1"/>
  <c r="H102" i="17" s="1"/>
  <c r="H103" i="17" s="1"/>
  <c r="H104" i="17" s="1"/>
  <c r="H105" i="17" s="1"/>
  <c r="H106" i="17" s="1"/>
  <c r="H107" i="17" s="1"/>
  <c r="H108" i="17" s="1"/>
  <c r="H109" i="17" s="1"/>
  <c r="H110" i="17" s="1"/>
  <c r="H111" i="17" s="1"/>
  <c r="H112" i="17" s="1"/>
  <c r="H113" i="17" s="1"/>
  <c r="H114" i="17" s="1"/>
  <c r="H115" i="17" s="1"/>
  <c r="H116" i="17" s="1"/>
  <c r="H117" i="17" s="1"/>
  <c r="H118" i="17" s="1"/>
  <c r="H119" i="17" s="1"/>
  <c r="H120" i="17" s="1"/>
  <c r="H121" i="17" s="1"/>
  <c r="H122" i="17" s="1"/>
  <c r="H123" i="17" s="1"/>
  <c r="H124" i="17" s="1"/>
  <c r="H125" i="17" s="1"/>
  <c r="H126" i="17" s="1"/>
  <c r="H127" i="17" s="1"/>
  <c r="H128" i="17" s="1"/>
  <c r="H129" i="17" s="1"/>
  <c r="H130" i="17" s="1"/>
  <c r="H131" i="17" s="1"/>
  <c r="H132" i="17" s="1"/>
  <c r="H133" i="17" s="1"/>
  <c r="H134" i="17" s="1"/>
  <c r="H135" i="17" s="1"/>
  <c r="H136" i="17" s="1"/>
  <c r="H137" i="17" s="1"/>
  <c r="H138" i="17" s="1"/>
  <c r="H139" i="17" s="1"/>
  <c r="H140" i="17" s="1"/>
  <c r="H141" i="17" s="1"/>
  <c r="H142" i="17" s="1"/>
  <c r="H143" i="17" s="1"/>
  <c r="H144" i="17" s="1"/>
  <c r="H145" i="17" s="1"/>
  <c r="H146" i="17" s="1"/>
  <c r="H147" i="17" s="1"/>
  <c r="H148" i="17" s="1"/>
  <c r="H149" i="17" s="1"/>
  <c r="H150" i="17" s="1"/>
  <c r="H151" i="17" s="1"/>
  <c r="H152" i="17" s="1"/>
  <c r="H153" i="17" s="1"/>
  <c r="H154" i="17" s="1"/>
  <c r="H155" i="17" s="1"/>
  <c r="H156" i="17" s="1"/>
  <c r="H157" i="17" s="1"/>
  <c r="H158" i="17" s="1"/>
  <c r="H159" i="17" s="1"/>
  <c r="H160" i="17" s="1"/>
  <c r="H161" i="17" s="1"/>
  <c r="H162" i="17" s="1"/>
  <c r="H163" i="17" s="1"/>
  <c r="H164" i="17" s="1"/>
  <c r="H165" i="17" s="1"/>
  <c r="H166" i="17" s="1"/>
  <c r="H167" i="17" s="1"/>
  <c r="H168" i="17" s="1"/>
  <c r="H169" i="17" s="1"/>
  <c r="H170" i="17" s="1"/>
  <c r="H171" i="17" s="1"/>
  <c r="H172" i="17" s="1"/>
  <c r="H173" i="17" s="1"/>
  <c r="H174" i="17" s="1"/>
  <c r="H175" i="17" s="1"/>
  <c r="H176" i="17" s="1"/>
  <c r="H177" i="17" s="1"/>
  <c r="H178" i="17" s="1"/>
  <c r="H179" i="17" s="1"/>
  <c r="H180" i="17" s="1"/>
  <c r="H181" i="17" s="1"/>
  <c r="H182" i="17" s="1"/>
  <c r="H183" i="17" s="1"/>
  <c r="H184" i="17" s="1"/>
  <c r="H185" i="17" s="1"/>
  <c r="H186" i="17" s="1"/>
  <c r="H187" i="17" s="1"/>
  <c r="H188" i="17" s="1"/>
  <c r="H189" i="17" s="1"/>
  <c r="H190" i="17" s="1"/>
  <c r="H191" i="17" s="1"/>
  <c r="H192" i="17" s="1"/>
  <c r="H193" i="17" s="1"/>
  <c r="H194" i="17" s="1"/>
  <c r="H195" i="17" s="1"/>
  <c r="H196" i="17" s="1"/>
  <c r="H197" i="17" s="1"/>
  <c r="H198" i="17" s="1"/>
  <c r="H199" i="17" s="1"/>
  <c r="H200" i="17" s="1"/>
  <c r="H201" i="17" s="1"/>
  <c r="H202" i="17" s="1"/>
  <c r="H203" i="17" s="1"/>
  <c r="H204" i="17" s="1"/>
  <c r="H205" i="17" s="1"/>
  <c r="H206" i="17" s="1"/>
  <c r="H207" i="17" s="1"/>
  <c r="H208" i="17" s="1"/>
  <c r="H209" i="17" s="1"/>
  <c r="H210" i="17" s="1"/>
  <c r="H211" i="17" s="1"/>
  <c r="H212" i="17" s="1"/>
  <c r="H213" i="17" s="1"/>
  <c r="H214" i="17" s="1"/>
  <c r="H215" i="17" s="1"/>
  <c r="H216" i="17" s="1"/>
  <c r="H217" i="17" s="1"/>
  <c r="H218" i="17" s="1"/>
  <c r="H219" i="17" s="1"/>
  <c r="H220" i="17" s="1"/>
  <c r="H221" i="17" s="1"/>
  <c r="H222" i="17" s="1"/>
  <c r="H223" i="17" s="1"/>
  <c r="H224" i="17" s="1"/>
  <c r="H225" i="17" s="1"/>
  <c r="H226" i="17" s="1"/>
  <c r="H227" i="17" s="1"/>
  <c r="H228" i="17" s="1"/>
  <c r="H229" i="17" s="1"/>
  <c r="H230" i="17" s="1"/>
  <c r="H231" i="17" s="1"/>
  <c r="H232" i="17" s="1"/>
  <c r="H233" i="17" s="1"/>
  <c r="H234" i="17" s="1"/>
  <c r="H235" i="17" s="1"/>
  <c r="H236" i="17" s="1"/>
  <c r="H237" i="17" s="1"/>
  <c r="H238" i="17" s="1"/>
  <c r="H239" i="17" s="1"/>
  <c r="H240" i="17" s="1"/>
  <c r="H241" i="17" s="1"/>
  <c r="H242" i="17" s="1"/>
  <c r="H243" i="17" s="1"/>
  <c r="H244" i="17" s="1"/>
  <c r="H245" i="17" s="1"/>
  <c r="H246" i="17" s="1"/>
  <c r="H247" i="17" s="1"/>
  <c r="H248" i="17" s="1"/>
  <c r="H249" i="17" s="1"/>
  <c r="H250" i="17" s="1"/>
  <c r="H251" i="17" s="1"/>
  <c r="H252" i="17" s="1"/>
  <c r="H253" i="17" s="1"/>
  <c r="H254" i="17" s="1"/>
  <c r="H255" i="17" s="1"/>
  <c r="H256" i="17" s="1"/>
  <c r="H257" i="17" s="1"/>
  <c r="H258" i="17" s="1"/>
  <c r="H259" i="17" s="1"/>
  <c r="H260" i="17" s="1"/>
  <c r="H261" i="17" s="1"/>
  <c r="H262" i="17" s="1"/>
  <c r="H263" i="17" s="1"/>
  <c r="H264" i="17" s="1"/>
  <c r="H265" i="17" s="1"/>
  <c r="H266" i="17" s="1"/>
  <c r="H267" i="17" s="1"/>
  <c r="H268" i="17" s="1"/>
  <c r="H269" i="17" s="1"/>
  <c r="H270" i="17" s="1"/>
  <c r="H271" i="17" s="1"/>
  <c r="H272" i="17" s="1"/>
  <c r="H273" i="17" s="1"/>
  <c r="H274" i="17" s="1"/>
  <c r="H275" i="17" s="1"/>
  <c r="H276" i="17" s="1"/>
  <c r="H277" i="17" s="1"/>
  <c r="H278" i="17" s="1"/>
  <c r="H279" i="17" s="1"/>
  <c r="H280" i="17" s="1"/>
  <c r="H281" i="17" s="1"/>
  <c r="H282" i="17" s="1"/>
  <c r="H283" i="17" s="1"/>
  <c r="H284" i="17" s="1"/>
  <c r="H285" i="17" s="1"/>
  <c r="H286" i="17" s="1"/>
  <c r="H287" i="17" s="1"/>
  <c r="H288" i="17" s="1"/>
  <c r="H289" i="17" s="1"/>
  <c r="H290" i="17" s="1"/>
  <c r="H291" i="17" s="1"/>
  <c r="H292" i="17" s="1"/>
  <c r="H293" i="17" s="1"/>
  <c r="H294" i="17" s="1"/>
  <c r="H295" i="17" s="1"/>
  <c r="H296" i="17" s="1"/>
  <c r="H297" i="17" s="1"/>
  <c r="H298" i="17" s="1"/>
  <c r="H299" i="17" s="1"/>
  <c r="H300" i="17" s="1"/>
  <c r="H301" i="17" s="1"/>
  <c r="H302" i="17" s="1"/>
  <c r="H303" i="17" s="1"/>
  <c r="H304" i="17" s="1"/>
  <c r="H305" i="17" s="1"/>
  <c r="H306" i="17" s="1"/>
  <c r="H307" i="17" s="1"/>
  <c r="H308" i="17" s="1"/>
  <c r="H309" i="17" s="1"/>
  <c r="H310" i="17" s="1"/>
  <c r="H311" i="17" s="1"/>
  <c r="H312" i="17" s="1"/>
  <c r="H313" i="17" s="1"/>
  <c r="H314" i="17" s="1"/>
  <c r="H315" i="17" s="1"/>
  <c r="H316" i="17" s="1"/>
  <c r="H317" i="17" s="1"/>
  <c r="H318" i="17" s="1"/>
  <c r="H319" i="17" s="1"/>
  <c r="H320" i="17" s="1"/>
  <c r="H321" i="17" s="1"/>
  <c r="H322" i="17" s="1"/>
  <c r="H323" i="17" s="1"/>
  <c r="H324" i="17" s="1"/>
  <c r="H325" i="17" s="1"/>
  <c r="H326" i="17" s="1"/>
  <c r="H327" i="17" s="1"/>
  <c r="H328" i="17" s="1"/>
  <c r="H329" i="17" s="1"/>
  <c r="H330" i="17" s="1"/>
  <c r="H331" i="17" s="1"/>
  <c r="H332" i="17" s="1"/>
  <c r="H333" i="17" s="1"/>
  <c r="H334" i="17" s="1"/>
  <c r="H335" i="17" s="1"/>
  <c r="H336" i="17" s="1"/>
  <c r="H337" i="17" s="1"/>
  <c r="J37" i="17"/>
  <c r="H37" i="17"/>
  <c r="J215" i="17" l="1"/>
  <c r="J216" i="17" s="1"/>
  <c r="J217" i="17" s="1"/>
  <c r="J218" i="17" s="1"/>
  <c r="J219" i="17" s="1"/>
  <c r="J220" i="17" s="1"/>
  <c r="J221" i="17" s="1"/>
  <c r="J222" i="17" s="1"/>
  <c r="J223" i="17" s="1"/>
  <c r="J224" i="17" s="1"/>
  <c r="J225" i="17" s="1"/>
  <c r="J226" i="17" s="1"/>
  <c r="J227" i="17" s="1"/>
  <c r="J228" i="17" s="1"/>
  <c r="J229" i="17" s="1"/>
  <c r="J230" i="17" s="1"/>
  <c r="J231" i="17" s="1"/>
  <c r="J232" i="17" s="1"/>
  <c r="J233" i="17" s="1"/>
  <c r="J234" i="17" s="1"/>
  <c r="J235" i="17" s="1"/>
  <c r="J236" i="17" s="1"/>
  <c r="J237" i="17" s="1"/>
  <c r="J238" i="17" s="1"/>
  <c r="J239" i="17" s="1"/>
  <c r="J240" i="17" s="1"/>
  <c r="J241" i="17" s="1"/>
  <c r="J242" i="17" s="1"/>
  <c r="J243" i="17" s="1"/>
  <c r="J244" i="17" s="1"/>
  <c r="J245" i="17" s="1"/>
  <c r="J246" i="17" s="1"/>
  <c r="J247" i="17" s="1"/>
  <c r="J248" i="17" s="1"/>
  <c r="J249" i="17" s="1"/>
  <c r="J250" i="17" s="1"/>
  <c r="J251" i="17" s="1"/>
  <c r="J252" i="17" s="1"/>
  <c r="J253" i="17" s="1"/>
  <c r="J254" i="17" s="1"/>
  <c r="J255" i="17" s="1"/>
  <c r="J256" i="17" s="1"/>
  <c r="J257" i="17" s="1"/>
  <c r="J258" i="17" s="1"/>
  <c r="J259" i="17" s="1"/>
  <c r="J260" i="17" s="1"/>
  <c r="J261" i="17" s="1"/>
  <c r="J262" i="17" s="1"/>
  <c r="J263" i="17" s="1"/>
  <c r="J264" i="17" s="1"/>
  <c r="J265" i="17" s="1"/>
  <c r="J266" i="17" s="1"/>
  <c r="J267" i="17" s="1"/>
  <c r="J268" i="17" s="1"/>
  <c r="J269" i="17" s="1"/>
  <c r="J270" i="17" s="1"/>
  <c r="J271" i="17" s="1"/>
  <c r="J272" i="17" s="1"/>
  <c r="J273" i="17" s="1"/>
  <c r="J274" i="17" s="1"/>
  <c r="J275" i="17" s="1"/>
  <c r="J276" i="17" s="1"/>
  <c r="J277" i="17" s="1"/>
  <c r="J278" i="17" s="1"/>
  <c r="J279" i="17" s="1"/>
  <c r="J280" i="17" s="1"/>
  <c r="J281" i="17" s="1"/>
  <c r="J282" i="17" s="1"/>
  <c r="J283" i="17" s="1"/>
  <c r="J284" i="17" s="1"/>
  <c r="J285" i="17" s="1"/>
  <c r="J286" i="17" s="1"/>
  <c r="J287" i="17" s="1"/>
  <c r="J288" i="17" s="1"/>
  <c r="J289" i="17" s="1"/>
  <c r="J290" i="17" s="1"/>
  <c r="J291" i="17" s="1"/>
  <c r="J292" i="17" s="1"/>
  <c r="J293" i="17" s="1"/>
  <c r="J294" i="17" s="1"/>
  <c r="J295" i="17" s="1"/>
  <c r="J296" i="17" s="1"/>
  <c r="J297" i="17" s="1"/>
  <c r="J298" i="17" s="1"/>
  <c r="J299" i="17" s="1"/>
  <c r="J300" i="17" s="1"/>
  <c r="J301" i="17" s="1"/>
  <c r="J302" i="17" s="1"/>
  <c r="J303" i="17" s="1"/>
  <c r="J304" i="17" s="1"/>
  <c r="J305" i="17" s="1"/>
  <c r="J306" i="17" s="1"/>
  <c r="J307" i="17" s="1"/>
  <c r="J308" i="17" s="1"/>
  <c r="J309" i="17" s="1"/>
  <c r="J310" i="17" s="1"/>
  <c r="J311" i="17" s="1"/>
  <c r="J312" i="17" s="1"/>
  <c r="J313" i="17" s="1"/>
  <c r="J314" i="17" s="1"/>
  <c r="J315" i="17" s="1"/>
  <c r="J316" i="17" s="1"/>
  <c r="J317" i="17" s="1"/>
  <c r="J318" i="17" s="1"/>
  <c r="J319" i="17" s="1"/>
  <c r="J320" i="17" s="1"/>
  <c r="J321" i="17" s="1"/>
  <c r="J322" i="17" s="1"/>
  <c r="J323" i="17" s="1"/>
  <c r="J324" i="17" s="1"/>
  <c r="J325" i="17" s="1"/>
  <c r="J326" i="17" s="1"/>
  <c r="J327" i="17" s="1"/>
  <c r="J328" i="17" s="1"/>
  <c r="J329" i="17" s="1"/>
  <c r="J330" i="17" s="1"/>
  <c r="J331" i="17" s="1"/>
  <c r="J332" i="17" s="1"/>
  <c r="J333" i="17" s="1"/>
  <c r="J334" i="17" s="1"/>
  <c r="J335" i="17" s="1"/>
  <c r="J336" i="17" s="1"/>
  <c r="I25" i="16" l="1"/>
  <c r="Q69" i="20" l="1"/>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68" i="20"/>
  <c r="O21" i="16" l="1"/>
  <c r="D10" i="25" l="1"/>
  <c r="D8" i="25"/>
  <c r="K10" i="26" l="1"/>
  <c r="K10" i="23"/>
  <c r="C15" i="22"/>
  <c r="B15" i="20" l="1"/>
  <c r="B14" i="20"/>
  <c r="C18" i="12"/>
  <c r="D60" i="12"/>
  <c r="C66" i="12"/>
  <c r="J10" i="26"/>
  <c r="D14" i="26"/>
  <c r="D495" i="17" l="1"/>
  <c r="D218" i="16"/>
  <c r="D218" i="14"/>
  <c r="C9" i="20" l="1"/>
  <c r="C20" i="12"/>
  <c r="C54" i="12"/>
  <c r="C42" i="12"/>
  <c r="C7" i="17" l="1"/>
  <c r="C6" i="17"/>
  <c r="C7" i="16"/>
  <c r="C6" i="16"/>
  <c r="C6" i="14"/>
  <c r="L12" i="15" l="1"/>
  <c r="C7" i="14" l="1"/>
  <c r="O218" i="16" l="1"/>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J10" i="23"/>
  <c r="D39" i="20" l="1"/>
  <c r="H39" i="20" s="1"/>
  <c r="L5" i="15" l="1"/>
  <c r="P26" i="14" l="1"/>
  <c r="I18" i="15"/>
  <c r="H30" i="15"/>
  <c r="N39" i="20" l="1"/>
  <c r="L11" i="19"/>
  <c r="G6" i="19"/>
  <c r="D24" i="22" l="1"/>
  <c r="P217" i="14" l="1"/>
  <c r="F217" i="14"/>
  <c r="P216" i="14"/>
  <c r="F216" i="14"/>
  <c r="P215" i="14"/>
  <c r="F215" i="14"/>
  <c r="P214" i="14"/>
  <c r="F214" i="14"/>
  <c r="P213" i="14"/>
  <c r="F213" i="14"/>
  <c r="P212" i="14"/>
  <c r="F212" i="14"/>
  <c r="P211" i="14"/>
  <c r="F211" i="14"/>
  <c r="P210" i="14"/>
  <c r="F210" i="14"/>
  <c r="P209" i="14"/>
  <c r="F209" i="14"/>
  <c r="P208" i="14"/>
  <c r="F208" i="14"/>
  <c r="P207" i="14"/>
  <c r="F207" i="14"/>
  <c r="P206" i="14"/>
  <c r="F206" i="14"/>
  <c r="P205" i="14"/>
  <c r="F205" i="14"/>
  <c r="P204" i="14"/>
  <c r="F204" i="14"/>
  <c r="P203" i="14"/>
  <c r="F203" i="14"/>
  <c r="P202" i="14"/>
  <c r="F202" i="14"/>
  <c r="P201" i="14"/>
  <c r="F201" i="14"/>
  <c r="P200" i="14"/>
  <c r="F200" i="14"/>
  <c r="P199" i="14"/>
  <c r="F199" i="14"/>
  <c r="P198" i="14"/>
  <c r="F198" i="14"/>
  <c r="P197" i="14"/>
  <c r="F197" i="14"/>
  <c r="P196" i="14"/>
  <c r="F196" i="14"/>
  <c r="P195" i="14"/>
  <c r="F195" i="14"/>
  <c r="P194" i="14"/>
  <c r="F194" i="14"/>
  <c r="P193" i="14"/>
  <c r="F193" i="14"/>
  <c r="P192" i="14"/>
  <c r="F192" i="14"/>
  <c r="P191" i="14"/>
  <c r="F191" i="14"/>
  <c r="P190" i="14"/>
  <c r="F190" i="14"/>
  <c r="P189" i="14"/>
  <c r="F189" i="14"/>
  <c r="P188" i="14"/>
  <c r="F188" i="14"/>
  <c r="P187" i="14"/>
  <c r="F187" i="14"/>
  <c r="P186" i="14"/>
  <c r="F186" i="14"/>
  <c r="P185" i="14"/>
  <c r="F185" i="14"/>
  <c r="P184" i="14"/>
  <c r="F184" i="14"/>
  <c r="P183" i="14"/>
  <c r="F183" i="14"/>
  <c r="P182" i="14"/>
  <c r="F182" i="14"/>
  <c r="P181" i="14"/>
  <c r="F181" i="14"/>
  <c r="P180" i="14"/>
  <c r="F180" i="14"/>
  <c r="P179" i="14"/>
  <c r="F179" i="14"/>
  <c r="P178" i="14"/>
  <c r="F178" i="14"/>
  <c r="P177" i="14"/>
  <c r="F177" i="14"/>
  <c r="P176" i="14"/>
  <c r="F176" i="14"/>
  <c r="P175" i="14"/>
  <c r="F175" i="14"/>
  <c r="P174" i="14"/>
  <c r="F174" i="14"/>
  <c r="P173" i="14"/>
  <c r="F173" i="14"/>
  <c r="P172" i="14"/>
  <c r="F172" i="14"/>
  <c r="P171" i="14"/>
  <c r="F171" i="14"/>
  <c r="P170" i="14"/>
  <c r="F170" i="14"/>
  <c r="P169" i="14"/>
  <c r="F169" i="14"/>
  <c r="P168" i="14"/>
  <c r="F168" i="14"/>
  <c r="P167" i="14"/>
  <c r="F167" i="14"/>
  <c r="P166" i="14"/>
  <c r="F166" i="14"/>
  <c r="P165" i="14"/>
  <c r="F165" i="14"/>
  <c r="P164" i="14"/>
  <c r="F164" i="14"/>
  <c r="P163" i="14"/>
  <c r="F163" i="14"/>
  <c r="P162" i="14"/>
  <c r="F162" i="14"/>
  <c r="P161" i="14"/>
  <c r="F161" i="14"/>
  <c r="P160" i="14"/>
  <c r="F160" i="14"/>
  <c r="P159" i="14"/>
  <c r="F159" i="14"/>
  <c r="P158" i="14"/>
  <c r="F158" i="14"/>
  <c r="P157" i="14"/>
  <c r="F157" i="14"/>
  <c r="P156" i="14"/>
  <c r="F156" i="14"/>
  <c r="P155" i="14"/>
  <c r="F155" i="14"/>
  <c r="P154" i="14"/>
  <c r="F154" i="14"/>
  <c r="P153" i="14"/>
  <c r="F153" i="14"/>
  <c r="P152" i="14"/>
  <c r="F152" i="14"/>
  <c r="P151" i="14"/>
  <c r="F151" i="14"/>
  <c r="P150" i="14"/>
  <c r="F150" i="14"/>
  <c r="P149" i="14"/>
  <c r="F149" i="14"/>
  <c r="P148" i="14"/>
  <c r="F148" i="14"/>
  <c r="P147" i="14"/>
  <c r="F147" i="14"/>
  <c r="P146" i="14"/>
  <c r="F146" i="14"/>
  <c r="P145" i="14"/>
  <c r="F145" i="14"/>
  <c r="P144" i="14"/>
  <c r="F144" i="14"/>
  <c r="P143" i="14"/>
  <c r="F143" i="14"/>
  <c r="P142" i="14"/>
  <c r="F142" i="14"/>
  <c r="P141" i="14"/>
  <c r="F141" i="14"/>
  <c r="P140" i="14"/>
  <c r="F140" i="14"/>
  <c r="P139" i="14"/>
  <c r="F139" i="14"/>
  <c r="P138" i="14"/>
  <c r="F138" i="14"/>
  <c r="P137" i="14"/>
  <c r="F137" i="14"/>
  <c r="P136" i="14"/>
  <c r="F136" i="14"/>
  <c r="P135" i="14"/>
  <c r="F135" i="14"/>
  <c r="P134" i="14"/>
  <c r="F134" i="14"/>
  <c r="P133" i="14"/>
  <c r="F133" i="14"/>
  <c r="P132" i="14"/>
  <c r="F132" i="14"/>
  <c r="P131" i="14"/>
  <c r="F131" i="14"/>
  <c r="P130" i="14"/>
  <c r="F130" i="14"/>
  <c r="P129" i="14"/>
  <c r="F129" i="14"/>
  <c r="P128" i="14"/>
  <c r="F128" i="14"/>
  <c r="P127" i="14"/>
  <c r="F127" i="14"/>
  <c r="P126" i="14"/>
  <c r="F126" i="14"/>
  <c r="P125" i="14"/>
  <c r="F125" i="14"/>
  <c r="P124" i="14"/>
  <c r="F124" i="14"/>
  <c r="P123" i="14"/>
  <c r="F123" i="14"/>
  <c r="P122" i="14"/>
  <c r="F122" i="14"/>
  <c r="P121" i="14"/>
  <c r="F121" i="14"/>
  <c r="P120" i="14"/>
  <c r="F120" i="14"/>
  <c r="P217" i="16"/>
  <c r="F217" i="16"/>
  <c r="P216" i="16"/>
  <c r="F216" i="16"/>
  <c r="P215" i="16"/>
  <c r="F215" i="16"/>
  <c r="P214" i="16"/>
  <c r="F214" i="16"/>
  <c r="P213" i="16"/>
  <c r="F213" i="16"/>
  <c r="P212" i="16"/>
  <c r="F212" i="16"/>
  <c r="P211" i="16"/>
  <c r="F211" i="16"/>
  <c r="P210" i="16"/>
  <c r="F210" i="16"/>
  <c r="P209" i="16"/>
  <c r="F209" i="16"/>
  <c r="P208" i="16"/>
  <c r="F208" i="16"/>
  <c r="P207" i="16"/>
  <c r="F207" i="16"/>
  <c r="P206" i="16"/>
  <c r="F206" i="16"/>
  <c r="P205" i="16"/>
  <c r="F205" i="16"/>
  <c r="P204" i="16"/>
  <c r="F204" i="16"/>
  <c r="P203" i="16"/>
  <c r="F203" i="16"/>
  <c r="P202" i="16"/>
  <c r="F202" i="16"/>
  <c r="P201" i="16"/>
  <c r="F201" i="16"/>
  <c r="P200" i="16"/>
  <c r="F200" i="16"/>
  <c r="P199" i="16"/>
  <c r="F199" i="16"/>
  <c r="P198" i="16"/>
  <c r="F198" i="16"/>
  <c r="P197" i="16"/>
  <c r="F197" i="16"/>
  <c r="P196" i="16"/>
  <c r="F196" i="16"/>
  <c r="P195" i="16"/>
  <c r="F195" i="16"/>
  <c r="P194" i="16"/>
  <c r="F194" i="16"/>
  <c r="P193" i="16"/>
  <c r="F193" i="16"/>
  <c r="P192" i="16"/>
  <c r="F192" i="16"/>
  <c r="P191" i="16"/>
  <c r="F191" i="16"/>
  <c r="P190" i="16"/>
  <c r="F190" i="16"/>
  <c r="P189" i="16"/>
  <c r="F189" i="16"/>
  <c r="P188" i="16"/>
  <c r="F188" i="16"/>
  <c r="P187" i="16"/>
  <c r="F187" i="16"/>
  <c r="P186" i="16"/>
  <c r="F186" i="16"/>
  <c r="P185" i="16"/>
  <c r="F185" i="16"/>
  <c r="P184" i="16"/>
  <c r="F184" i="16"/>
  <c r="P183" i="16"/>
  <c r="F183" i="16"/>
  <c r="P182" i="16"/>
  <c r="F182" i="16"/>
  <c r="P181" i="16"/>
  <c r="F181" i="16"/>
  <c r="P180" i="16"/>
  <c r="F180" i="16"/>
  <c r="P179" i="16"/>
  <c r="F179" i="16"/>
  <c r="P178" i="16"/>
  <c r="F178" i="16"/>
  <c r="P177" i="16"/>
  <c r="F177" i="16"/>
  <c r="P176" i="16"/>
  <c r="F176" i="16"/>
  <c r="P175" i="16"/>
  <c r="F175" i="16"/>
  <c r="P174" i="16"/>
  <c r="F174" i="16"/>
  <c r="P173" i="16"/>
  <c r="F173" i="16"/>
  <c r="P172" i="16"/>
  <c r="F172" i="16"/>
  <c r="P171" i="16"/>
  <c r="F171" i="16"/>
  <c r="P170" i="16"/>
  <c r="F170" i="16"/>
  <c r="P169" i="16"/>
  <c r="F169" i="16"/>
  <c r="P168" i="16"/>
  <c r="F168" i="16"/>
  <c r="P167" i="16"/>
  <c r="F167" i="16"/>
  <c r="P166" i="16"/>
  <c r="F166" i="16"/>
  <c r="P165" i="16"/>
  <c r="F165" i="16"/>
  <c r="P164" i="16"/>
  <c r="F164" i="16"/>
  <c r="P163" i="16"/>
  <c r="F163" i="16"/>
  <c r="P162" i="16"/>
  <c r="F162" i="16"/>
  <c r="P161" i="16"/>
  <c r="F161" i="16"/>
  <c r="P160" i="16"/>
  <c r="F160" i="16"/>
  <c r="P159" i="16"/>
  <c r="F159" i="16"/>
  <c r="P158" i="16"/>
  <c r="F158" i="16"/>
  <c r="P157" i="16"/>
  <c r="F157" i="16"/>
  <c r="P156" i="16"/>
  <c r="F156" i="16"/>
  <c r="P155" i="16"/>
  <c r="F155" i="16"/>
  <c r="P154" i="16"/>
  <c r="F154" i="16"/>
  <c r="P153" i="16"/>
  <c r="F153" i="16"/>
  <c r="P152" i="16"/>
  <c r="F152" i="16"/>
  <c r="P151" i="16"/>
  <c r="F151" i="16"/>
  <c r="P150" i="16"/>
  <c r="F150" i="16"/>
  <c r="P149" i="16"/>
  <c r="F149" i="16"/>
  <c r="P148" i="16"/>
  <c r="F148" i="16"/>
  <c r="P147" i="16"/>
  <c r="F147" i="16"/>
  <c r="P146" i="16"/>
  <c r="F146" i="16"/>
  <c r="P145" i="16"/>
  <c r="F145" i="16"/>
  <c r="P144" i="16"/>
  <c r="F144" i="16"/>
  <c r="P143" i="16"/>
  <c r="F143" i="16"/>
  <c r="P142" i="16"/>
  <c r="F142" i="16"/>
  <c r="P141" i="16"/>
  <c r="F141" i="16"/>
  <c r="P140" i="16"/>
  <c r="F140" i="16"/>
  <c r="P139" i="16"/>
  <c r="F139" i="16"/>
  <c r="P138" i="16"/>
  <c r="F138" i="16"/>
  <c r="P137" i="16"/>
  <c r="F137" i="16"/>
  <c r="P136" i="16"/>
  <c r="F136" i="16"/>
  <c r="P135" i="16"/>
  <c r="F135" i="16"/>
  <c r="P134" i="16"/>
  <c r="F134" i="16"/>
  <c r="P133" i="16"/>
  <c r="F133" i="16"/>
  <c r="P132" i="16"/>
  <c r="F132" i="16"/>
  <c r="P131" i="16"/>
  <c r="F131" i="16"/>
  <c r="P130" i="16"/>
  <c r="F130" i="16"/>
  <c r="P129" i="16"/>
  <c r="F129" i="16"/>
  <c r="P128" i="16"/>
  <c r="F128" i="16"/>
  <c r="P127" i="16"/>
  <c r="F127" i="16"/>
  <c r="P126" i="16"/>
  <c r="F126" i="16"/>
  <c r="P125" i="16"/>
  <c r="F125" i="16"/>
  <c r="P124" i="16"/>
  <c r="F124" i="16"/>
  <c r="P123" i="16"/>
  <c r="F123" i="16"/>
  <c r="P122" i="16"/>
  <c r="F122" i="16"/>
  <c r="P121" i="16"/>
  <c r="F121" i="16"/>
  <c r="P120" i="16"/>
  <c r="F120" i="16"/>
  <c r="AL15" i="19" l="1"/>
  <c r="D38" i="12" l="1"/>
  <c r="C40" i="12"/>
  <c r="D81" i="12"/>
  <c r="D73" i="12"/>
  <c r="D72" i="12"/>
  <c r="D48" i="12"/>
  <c r="F495" i="17" l="1"/>
  <c r="P218" i="16"/>
  <c r="P119" i="16"/>
  <c r="P118" i="16"/>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F218"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P218"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5" i="14"/>
  <c r="P24" i="14"/>
  <c r="F218"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4" i="14"/>
  <c r="AG11" i="19" l="1"/>
  <c r="AD11" i="19"/>
  <c r="AA11" i="19"/>
  <c r="X11" i="19"/>
  <c r="U11" i="19"/>
  <c r="R11" i="19"/>
  <c r="P21" i="14" l="1"/>
  <c r="O21" i="14"/>
  <c r="N21" i="14"/>
  <c r="P21" i="17"/>
  <c r="O21" i="17"/>
  <c r="N21" i="17"/>
  <c r="N21" i="16"/>
  <c r="F6" i="19"/>
  <c r="J33" i="19" l="1"/>
  <c r="J34" i="19"/>
  <c r="M19" i="19"/>
  <c r="G12" i="19"/>
  <c r="M39" i="19"/>
  <c r="J37" i="19"/>
  <c r="D14" i="23"/>
  <c r="L18" i="15" l="1"/>
  <c r="H20" i="22"/>
  <c r="K20" i="22" s="1"/>
  <c r="D32" i="12" l="1"/>
  <c r="D31" i="12"/>
  <c r="D30" i="12"/>
  <c r="D28" i="12"/>
  <c r="D29" i="12"/>
  <c r="K8" i="25" l="1"/>
  <c r="D19" i="25"/>
  <c r="P21" i="16"/>
  <c r="AJ19" i="19"/>
  <c r="O11" i="19" s="1"/>
  <c r="O39"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6" i="20" l="1"/>
  <c r="A11" i="20"/>
  <c r="C11" i="20" s="1"/>
  <c r="C35" i="20" l="1"/>
  <c r="S47" i="19" l="1"/>
  <c r="E15" i="17"/>
  <c r="E16" i="16"/>
  <c r="E15" i="16"/>
  <c r="E16" i="14"/>
  <c r="E15" i="14"/>
  <c r="F488" i="17" l="1"/>
  <c r="F491" i="17"/>
  <c r="F489" i="17"/>
  <c r="F490" i="17"/>
  <c r="F492" i="17"/>
  <c r="F24" i="16"/>
  <c r="F25" i="16"/>
  <c r="F471" i="17"/>
  <c r="F475" i="17"/>
  <c r="F476" i="17"/>
  <c r="F487" i="17"/>
  <c r="F477" i="17"/>
  <c r="F478" i="17"/>
  <c r="F479" i="17"/>
  <c r="F483" i="17"/>
  <c r="F484" i="17"/>
  <c r="F480" i="17"/>
  <c r="F485" i="17"/>
  <c r="F472" i="17"/>
  <c r="F473" i="17"/>
  <c r="F486" i="17"/>
  <c r="F481" i="17"/>
  <c r="F482" i="17"/>
  <c r="F474" i="17"/>
  <c r="F455" i="17"/>
  <c r="F467" i="17"/>
  <c r="F459" i="17"/>
  <c r="F461" i="17"/>
  <c r="F463" i="17"/>
  <c r="F468" i="17"/>
  <c r="F272" i="17"/>
  <c r="F284" i="17"/>
  <c r="F326" i="17"/>
  <c r="F321" i="17"/>
  <c r="P284" i="17"/>
  <c r="F273" i="17"/>
  <c r="F285" i="17"/>
  <c r="F327" i="17"/>
  <c r="F462" i="17"/>
  <c r="P331" i="17"/>
  <c r="F275" i="17"/>
  <c r="F317" i="17"/>
  <c r="F329" i="17"/>
  <c r="F278" i="17"/>
  <c r="F332" i="17"/>
  <c r="F279" i="17"/>
  <c r="F333" i="17"/>
  <c r="F276" i="17"/>
  <c r="F318" i="17"/>
  <c r="F330" i="17"/>
  <c r="F277" i="17"/>
  <c r="F319" i="17"/>
  <c r="F331" i="17"/>
  <c r="P318" i="17"/>
  <c r="P335" i="17"/>
  <c r="F465" i="17"/>
  <c r="F320" i="17"/>
  <c r="P334" i="17"/>
  <c r="F456" i="17"/>
  <c r="F464" i="17"/>
  <c r="P336" i="17"/>
  <c r="F280" i="17"/>
  <c r="F322" i="17"/>
  <c r="F334" i="17"/>
  <c r="F281" i="17"/>
  <c r="F323" i="17"/>
  <c r="F335" i="17"/>
  <c r="F270" i="17"/>
  <c r="F282" i="17"/>
  <c r="F324" i="17"/>
  <c r="F336" i="17"/>
  <c r="F283" i="17"/>
  <c r="F274" i="17"/>
  <c r="F328" i="17"/>
  <c r="P333" i="17"/>
  <c r="F269" i="17"/>
  <c r="F460" i="17"/>
  <c r="P285" i="17"/>
  <c r="F271" i="17"/>
  <c r="F325" i="17"/>
  <c r="F286" i="17"/>
  <c r="F469" i="17"/>
  <c r="P321" i="17"/>
  <c r="P322" i="17"/>
  <c r="F466" i="17"/>
  <c r="F457" i="17"/>
  <c r="P283" i="17"/>
  <c r="P323" i="17"/>
  <c r="P317" i="17"/>
  <c r="P330" i="17"/>
  <c r="P281" i="17"/>
  <c r="P286" i="17"/>
  <c r="P328" i="17"/>
  <c r="P325" i="17"/>
  <c r="P329" i="17"/>
  <c r="P326" i="17"/>
  <c r="P324" i="17"/>
  <c r="P319" i="17"/>
  <c r="P327" i="17"/>
  <c r="P320" i="17"/>
  <c r="P282" i="17"/>
  <c r="P287" i="17"/>
  <c r="F287" i="17"/>
  <c r="F458" i="17"/>
  <c r="F470" i="17"/>
  <c r="P288" i="17"/>
  <c r="F288" i="17"/>
  <c r="P289" i="17"/>
  <c r="F289" i="17"/>
  <c r="P290" i="17"/>
  <c r="F290" i="17"/>
  <c r="P291" i="17"/>
  <c r="F291" i="17"/>
  <c r="P292" i="17"/>
  <c r="F292" i="17"/>
  <c r="P293" i="17"/>
  <c r="F293" i="17"/>
  <c r="P294" i="17"/>
  <c r="F294" i="17"/>
  <c r="P295" i="17"/>
  <c r="F295" i="17"/>
  <c r="P296" i="17"/>
  <c r="F296" i="17"/>
  <c r="P297" i="17"/>
  <c r="F297" i="17"/>
  <c r="P298" i="17"/>
  <c r="F298" i="17"/>
  <c r="P299" i="17"/>
  <c r="F299" i="17"/>
  <c r="P300" i="17"/>
  <c r="F300" i="17"/>
  <c r="P301" i="17"/>
  <c r="F301" i="17"/>
  <c r="P302" i="17"/>
  <c r="F302" i="17"/>
  <c r="P303" i="17"/>
  <c r="F303" i="17"/>
  <c r="P304" i="17"/>
  <c r="F304" i="17"/>
  <c r="P305" i="17"/>
  <c r="F305" i="17"/>
  <c r="P306" i="17"/>
  <c r="F306" i="17"/>
  <c r="P307" i="17"/>
  <c r="F307" i="17"/>
  <c r="P308" i="17"/>
  <c r="F308" i="17"/>
  <c r="P309" i="17"/>
  <c r="F309" i="17"/>
  <c r="P310" i="17"/>
  <c r="F310" i="17"/>
  <c r="P311" i="17"/>
  <c r="F311" i="17"/>
  <c r="P312" i="17"/>
  <c r="F312" i="17"/>
  <c r="P313" i="17"/>
  <c r="F313" i="17"/>
  <c r="P314" i="17"/>
  <c r="F314" i="17"/>
  <c r="P315" i="17"/>
  <c r="F315" i="17"/>
  <c r="F316" i="17"/>
  <c r="P316" i="17"/>
  <c r="F454" i="17"/>
  <c r="F442" i="17"/>
  <c r="F430" i="17"/>
  <c r="F418" i="17"/>
  <c r="F406" i="17"/>
  <c r="F394" i="17"/>
  <c r="F382" i="17"/>
  <c r="F370" i="17"/>
  <c r="F439" i="17"/>
  <c r="F415" i="17"/>
  <c r="F379" i="17"/>
  <c r="F426" i="17"/>
  <c r="F378" i="17"/>
  <c r="F401" i="17"/>
  <c r="F388" i="17"/>
  <c r="F363" i="17"/>
  <c r="F453" i="17"/>
  <c r="F441" i="17"/>
  <c r="F429" i="17"/>
  <c r="F417" i="17"/>
  <c r="F405" i="17"/>
  <c r="F393" i="17"/>
  <c r="F381" i="17"/>
  <c r="F369" i="17"/>
  <c r="F451" i="17"/>
  <c r="F427" i="17"/>
  <c r="F391" i="17"/>
  <c r="F367" i="17"/>
  <c r="F438" i="17"/>
  <c r="F390" i="17"/>
  <c r="F437" i="17"/>
  <c r="F389" i="17"/>
  <c r="F448" i="17"/>
  <c r="F435" i="17"/>
  <c r="F452" i="17"/>
  <c r="F440" i="17"/>
  <c r="F428" i="17"/>
  <c r="F416" i="17"/>
  <c r="F404" i="17"/>
  <c r="F392" i="17"/>
  <c r="F380" i="17"/>
  <c r="F368" i="17"/>
  <c r="F414" i="17"/>
  <c r="F413" i="17"/>
  <c r="F376" i="17"/>
  <c r="F375" i="17"/>
  <c r="F403" i="17"/>
  <c r="F450" i="17"/>
  <c r="F402" i="17"/>
  <c r="F366" i="17"/>
  <c r="F449" i="17"/>
  <c r="F425" i="17"/>
  <c r="F377" i="17"/>
  <c r="F365" i="17"/>
  <c r="F436" i="17"/>
  <c r="F411" i="17"/>
  <c r="F446" i="17"/>
  <c r="F434" i="17"/>
  <c r="F422" i="17"/>
  <c r="F410" i="17"/>
  <c r="F398" i="17"/>
  <c r="F386" i="17"/>
  <c r="F374" i="17"/>
  <c r="F362" i="17"/>
  <c r="F409" i="17"/>
  <c r="F385" i="17"/>
  <c r="F361" i="17"/>
  <c r="F395" i="17"/>
  <c r="F412" i="17"/>
  <c r="F423" i="17"/>
  <c r="F445" i="17"/>
  <c r="F433" i="17"/>
  <c r="F421" i="17"/>
  <c r="F397" i="17"/>
  <c r="F373" i="17"/>
  <c r="F407" i="17"/>
  <c r="F371" i="17"/>
  <c r="F424" i="17"/>
  <c r="F387" i="17"/>
  <c r="F444" i="17"/>
  <c r="F432" i="17"/>
  <c r="F420" i="17"/>
  <c r="F408" i="17"/>
  <c r="F396" i="17"/>
  <c r="F384" i="17"/>
  <c r="F372" i="17"/>
  <c r="F431" i="17"/>
  <c r="F383" i="17"/>
  <c r="F400" i="17"/>
  <c r="F447" i="17"/>
  <c r="F443" i="17"/>
  <c r="F419" i="17"/>
  <c r="F364" i="17"/>
  <c r="F399" i="17"/>
  <c r="F349" i="17"/>
  <c r="F346" i="17"/>
  <c r="F339" i="17"/>
  <c r="F350" i="17"/>
  <c r="F360" i="17"/>
  <c r="F348" i="17"/>
  <c r="F344" i="17"/>
  <c r="F343" i="17"/>
  <c r="F340" i="17"/>
  <c r="F359" i="17"/>
  <c r="F347" i="17"/>
  <c r="F358" i="17"/>
  <c r="F342" i="17"/>
  <c r="F357" i="17"/>
  <c r="F345" i="17"/>
  <c r="F356" i="17"/>
  <c r="F355" i="17"/>
  <c r="F354" i="17"/>
  <c r="F352" i="17"/>
  <c r="F351" i="17"/>
  <c r="F338" i="17"/>
  <c r="F353" i="17"/>
  <c r="F341" i="17"/>
  <c r="P275" i="17"/>
  <c r="P276" i="17"/>
  <c r="P278" i="17"/>
  <c r="P274" i="17"/>
  <c r="P279" i="17"/>
  <c r="P280" i="17"/>
  <c r="P269" i="17"/>
  <c r="P277" i="17"/>
  <c r="P270" i="17"/>
  <c r="P273" i="17"/>
  <c r="P271" i="17"/>
  <c r="P272" i="17"/>
  <c r="F163" i="17"/>
  <c r="F217" i="17"/>
  <c r="F218" i="17"/>
  <c r="F267" i="17"/>
  <c r="F236" i="17"/>
  <c r="F101" i="17"/>
  <c r="F268" i="17"/>
  <c r="F165" i="17"/>
  <c r="F220" i="17"/>
  <c r="F164" i="17"/>
  <c r="P164" i="17"/>
  <c r="F103" i="17"/>
  <c r="F219" i="17"/>
  <c r="F104" i="17"/>
  <c r="F102" i="17"/>
  <c r="F238" i="17"/>
  <c r="P219" i="17"/>
  <c r="F237" i="17"/>
  <c r="F99" i="17"/>
  <c r="P220" i="17"/>
  <c r="P217" i="17"/>
  <c r="F166" i="17"/>
  <c r="P165" i="17"/>
  <c r="P163" i="17"/>
  <c r="P221" i="17"/>
  <c r="P218" i="17"/>
  <c r="F105" i="17"/>
  <c r="F221" i="17"/>
  <c r="P166" i="17"/>
  <c r="F239" i="17"/>
  <c r="P222" i="17"/>
  <c r="F106" i="17"/>
  <c r="F222" i="17"/>
  <c r="F100" i="17"/>
  <c r="F167" i="17"/>
  <c r="P167" i="17"/>
  <c r="F240" i="17"/>
  <c r="F241" i="17"/>
  <c r="P223" i="17"/>
  <c r="F107" i="17"/>
  <c r="F223" i="17"/>
  <c r="F168" i="17"/>
  <c r="P168" i="17"/>
  <c r="P169" i="17"/>
  <c r="F169" i="17"/>
  <c r="F242" i="17"/>
  <c r="F224" i="17"/>
  <c r="F108" i="17"/>
  <c r="P224" i="17"/>
  <c r="P170" i="17"/>
  <c r="F170" i="17"/>
  <c r="F243" i="17"/>
  <c r="P225" i="17"/>
  <c r="F109" i="17"/>
  <c r="F225" i="17"/>
  <c r="F171" i="17"/>
  <c r="P171" i="17"/>
  <c r="F244" i="17"/>
  <c r="F226" i="17"/>
  <c r="F110" i="17"/>
  <c r="P226" i="17"/>
  <c r="P172" i="17"/>
  <c r="P227" i="17"/>
  <c r="F245" i="17"/>
  <c r="F111" i="17"/>
  <c r="F227" i="17"/>
  <c r="F172" i="17"/>
  <c r="P173" i="17"/>
  <c r="F173" i="17"/>
  <c r="P228" i="17"/>
  <c r="F228" i="17"/>
  <c r="F246" i="17"/>
  <c r="F112" i="17"/>
  <c r="P174" i="17"/>
  <c r="F247" i="17"/>
  <c r="P229" i="17"/>
  <c r="F229" i="17"/>
  <c r="F174" i="17"/>
  <c r="F113" i="17"/>
  <c r="P175" i="17"/>
  <c r="F248" i="17"/>
  <c r="F114" i="17"/>
  <c r="P230" i="17"/>
  <c r="F230" i="17"/>
  <c r="F175" i="17"/>
  <c r="F176" i="17"/>
  <c r="P176" i="17"/>
  <c r="F115" i="17"/>
  <c r="F231" i="17"/>
  <c r="F249" i="17"/>
  <c r="P231" i="17"/>
  <c r="F177" i="17"/>
  <c r="P177" i="17"/>
  <c r="F250" i="17"/>
  <c r="P232" i="17"/>
  <c r="F116" i="17"/>
  <c r="F232" i="17"/>
  <c r="P178" i="17"/>
  <c r="F178" i="17"/>
  <c r="F117" i="17"/>
  <c r="P233" i="17"/>
  <c r="F251" i="17"/>
  <c r="F233" i="17"/>
  <c r="F179" i="17"/>
  <c r="P179" i="17"/>
  <c r="F252" i="17"/>
  <c r="F118" i="17"/>
  <c r="P234" i="17"/>
  <c r="F234" i="17"/>
  <c r="P180" i="17"/>
  <c r="F180" i="17"/>
  <c r="F119" i="17"/>
  <c r="F235" i="17"/>
  <c r="P235" i="17"/>
  <c r="F253" i="17"/>
  <c r="P181" i="17"/>
  <c r="F181" i="17"/>
  <c r="F254" i="17"/>
  <c r="F120" i="17"/>
  <c r="P182" i="17"/>
  <c r="F182" i="17"/>
  <c r="F255" i="17"/>
  <c r="F121" i="17"/>
  <c r="P122" i="17"/>
  <c r="P183" i="17"/>
  <c r="F183" i="17"/>
  <c r="F256" i="17"/>
  <c r="F122" i="17"/>
  <c r="P123" i="17"/>
  <c r="F257" i="17"/>
  <c r="F184" i="17"/>
  <c r="F123" i="17"/>
  <c r="P124" i="17"/>
  <c r="F185" i="17"/>
  <c r="F258" i="17"/>
  <c r="F124" i="17"/>
  <c r="P125" i="17"/>
  <c r="F186" i="17"/>
  <c r="F259" i="17"/>
  <c r="F125" i="17"/>
  <c r="P126" i="17"/>
  <c r="F260" i="17"/>
  <c r="F187" i="17"/>
  <c r="F126" i="17"/>
  <c r="P127" i="17"/>
  <c r="F188" i="17"/>
  <c r="F261" i="17"/>
  <c r="F127" i="17"/>
  <c r="P128" i="17"/>
  <c r="F189" i="17"/>
  <c r="F262" i="17"/>
  <c r="F128" i="17"/>
  <c r="F190" i="17"/>
  <c r="F263" i="17"/>
  <c r="F129" i="17"/>
  <c r="F191" i="17"/>
  <c r="F264" i="17"/>
  <c r="F130" i="17"/>
  <c r="F192" i="17"/>
  <c r="F265" i="17"/>
  <c r="F131" i="17"/>
  <c r="F193" i="17"/>
  <c r="F266" i="17"/>
  <c r="F132" i="17"/>
  <c r="F194" i="17"/>
  <c r="F133" i="17"/>
  <c r="F195" i="17"/>
  <c r="F134" i="17"/>
  <c r="F196" i="17"/>
  <c r="F135" i="17"/>
  <c r="F197" i="17"/>
  <c r="F136" i="17"/>
  <c r="F198" i="17"/>
  <c r="F137" i="17"/>
  <c r="F199" i="17"/>
  <c r="F138" i="17"/>
  <c r="F200" i="17"/>
  <c r="F139" i="17"/>
  <c r="F201" i="17"/>
  <c r="F140" i="17"/>
  <c r="F141" i="17"/>
  <c r="F202" i="17"/>
  <c r="F142" i="17"/>
  <c r="F203" i="17"/>
  <c r="F204" i="17"/>
  <c r="F143" i="17"/>
  <c r="F144" i="17"/>
  <c r="F205" i="17"/>
  <c r="F206" i="17"/>
  <c r="F145" i="17"/>
  <c r="F207" i="17"/>
  <c r="F146" i="17"/>
  <c r="F208" i="17"/>
  <c r="F147" i="17"/>
  <c r="F148" i="17"/>
  <c r="P98" i="17"/>
  <c r="F209" i="17"/>
  <c r="F149" i="17"/>
  <c r="F210" i="17"/>
  <c r="F211" i="17"/>
  <c r="F150" i="17"/>
  <c r="F151" i="17"/>
  <c r="F212" i="17"/>
  <c r="F213" i="17"/>
  <c r="F152" i="17"/>
  <c r="F153" i="17"/>
  <c r="F214" i="17"/>
  <c r="F215" i="17" s="1"/>
  <c r="F216" i="17" s="1"/>
  <c r="F154" i="17"/>
  <c r="F155" i="17"/>
  <c r="F156" i="17"/>
  <c r="F157" i="17"/>
  <c r="F158" i="17"/>
  <c r="F159" i="17"/>
  <c r="F160" i="17"/>
  <c r="P160" i="17"/>
  <c r="F161" i="17"/>
  <c r="F162" i="17"/>
  <c r="F337" i="17"/>
  <c r="F85" i="17"/>
  <c r="F73" i="17"/>
  <c r="F61" i="17"/>
  <c r="F96" i="17"/>
  <c r="F72" i="17"/>
  <c r="F60" i="17"/>
  <c r="F83" i="17"/>
  <c r="F59" i="17"/>
  <c r="F70" i="17"/>
  <c r="F84" i="17"/>
  <c r="F58" i="17"/>
  <c r="F95" i="17"/>
  <c r="F71" i="17"/>
  <c r="F94" i="17"/>
  <c r="F82" i="17"/>
  <c r="F93" i="17"/>
  <c r="F81" i="17"/>
  <c r="F69" i="17"/>
  <c r="F57" i="17"/>
  <c r="F92" i="17"/>
  <c r="F80" i="17"/>
  <c r="F68" i="17"/>
  <c r="F56" i="17"/>
  <c r="F91" i="17"/>
  <c r="F79" i="17"/>
  <c r="F67" i="17"/>
  <c r="F55" i="17"/>
  <c r="F90" i="17"/>
  <c r="F78" i="17"/>
  <c r="F66" i="17"/>
  <c r="F54" i="17"/>
  <c r="F89" i="17"/>
  <c r="F77" i="17"/>
  <c r="F65" i="17"/>
  <c r="F53" i="17"/>
  <c r="F88" i="17"/>
  <c r="F76" i="17"/>
  <c r="F64" i="17"/>
  <c r="F87" i="17"/>
  <c r="F75" i="17"/>
  <c r="F63" i="17"/>
  <c r="F86" i="17"/>
  <c r="F74" i="17"/>
  <c r="F62" i="17"/>
  <c r="P107" i="17"/>
  <c r="P119" i="17"/>
  <c r="P120" i="17"/>
  <c r="P109" i="17"/>
  <c r="P121" i="17"/>
  <c r="P111" i="17"/>
  <c r="P112" i="17"/>
  <c r="P101" i="17"/>
  <c r="P113" i="17"/>
  <c r="P102" i="17"/>
  <c r="P114" i="17"/>
  <c r="P103" i="17"/>
  <c r="P115" i="17"/>
  <c r="P104" i="17"/>
  <c r="P116" i="17"/>
  <c r="P118" i="17"/>
  <c r="P108" i="17"/>
  <c r="P105" i="17"/>
  <c r="P117" i="17"/>
  <c r="P106" i="17"/>
  <c r="P110" i="17"/>
  <c r="F97" i="17"/>
  <c r="F98" i="17" s="1"/>
  <c r="F37" i="17"/>
  <c r="P414" i="17"/>
  <c r="P408" i="17"/>
  <c r="P402" i="17"/>
  <c r="P396" i="17"/>
  <c r="P390" i="17"/>
  <c r="P384" i="17"/>
  <c r="P378" i="17"/>
  <c r="P372" i="17"/>
  <c r="P366" i="17"/>
  <c r="P371" i="17"/>
  <c r="P370" i="17"/>
  <c r="P413" i="17"/>
  <c r="P407" i="17"/>
  <c r="P401" i="17"/>
  <c r="P395" i="17"/>
  <c r="P389" i="17"/>
  <c r="P383" i="17"/>
  <c r="P377" i="17"/>
  <c r="P365" i="17"/>
  <c r="P418" i="17"/>
  <c r="P412" i="17"/>
  <c r="P406" i="17"/>
  <c r="P400" i="17"/>
  <c r="P388" i="17"/>
  <c r="P382" i="17"/>
  <c r="P376" i="17"/>
  <c r="P364" i="17"/>
  <c r="P417" i="17"/>
  <c r="P411" i="17"/>
  <c r="P405" i="17"/>
  <c r="P399" i="17"/>
  <c r="P387" i="17"/>
  <c r="P381" i="17"/>
  <c r="P375" i="17"/>
  <c r="P363" i="17"/>
  <c r="P416" i="17"/>
  <c r="P410" i="17"/>
  <c r="P404" i="17"/>
  <c r="P398" i="17"/>
  <c r="P392" i="17"/>
  <c r="P386" i="17"/>
  <c r="P380" i="17"/>
  <c r="P374" i="17"/>
  <c r="P362" i="17"/>
  <c r="P421" i="17"/>
  <c r="P415" i="17"/>
  <c r="P409" i="17"/>
  <c r="P403" i="17"/>
  <c r="P397" i="17"/>
  <c r="P391" i="17"/>
  <c r="P385" i="17"/>
  <c r="P379" i="17"/>
  <c r="P373" i="17"/>
  <c r="P367" i="17"/>
  <c r="P361" i="17"/>
  <c r="P358" i="17"/>
  <c r="P346" i="17"/>
  <c r="P58" i="17"/>
  <c r="P345" i="17"/>
  <c r="P57" i="17"/>
  <c r="P356" i="17"/>
  <c r="P357" i="17"/>
  <c r="P56" i="17"/>
  <c r="P66" i="17"/>
  <c r="P344" i="17"/>
  <c r="P54" i="17"/>
  <c r="P355" i="17"/>
  <c r="P343" i="17"/>
  <c r="P55" i="17"/>
  <c r="P354" i="17"/>
  <c r="P342" i="17"/>
  <c r="P353" i="17"/>
  <c r="P341" i="17"/>
  <c r="P65" i="17"/>
  <c r="P53" i="17"/>
  <c r="P352" i="17"/>
  <c r="P340" i="17"/>
  <c r="P64" i="17"/>
  <c r="P339" i="17"/>
  <c r="P63" i="17"/>
  <c r="P338" i="17"/>
  <c r="P62" i="17"/>
  <c r="P495" i="17"/>
  <c r="P349" i="17"/>
  <c r="P337" i="17"/>
  <c r="P61" i="17"/>
  <c r="P360" i="17"/>
  <c r="P348" i="17"/>
  <c r="P60" i="17"/>
  <c r="P359" i="17"/>
  <c r="P347" i="17"/>
  <c r="P59" i="17"/>
  <c r="F49" i="17"/>
  <c r="F36" i="17"/>
  <c r="F24" i="17"/>
  <c r="F48" i="17"/>
  <c r="F35" i="17"/>
  <c r="F47" i="17"/>
  <c r="F34" i="17"/>
  <c r="F46" i="17"/>
  <c r="F33" i="17"/>
  <c r="F45" i="17"/>
  <c r="F32" i="17"/>
  <c r="F44" i="17"/>
  <c r="F31" i="17"/>
  <c r="F43" i="17"/>
  <c r="F30" i="17"/>
  <c r="F42" i="17"/>
  <c r="F29" i="17"/>
  <c r="F41" i="17"/>
  <c r="F28" i="17"/>
  <c r="F52" i="17"/>
  <c r="F40" i="17"/>
  <c r="F27" i="17"/>
  <c r="F51" i="17"/>
  <c r="F39" i="17"/>
  <c r="F26" i="17"/>
  <c r="F50" i="17"/>
  <c r="F38" i="17"/>
  <c r="F25" i="17"/>
  <c r="F25" i="14"/>
  <c r="F26" i="14"/>
  <c r="F23" i="16"/>
  <c r="F22" i="16"/>
  <c r="F23"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C12" i="19" l="1"/>
  <c r="D12" i="19" s="1"/>
  <c r="D40" i="20"/>
  <c r="N40" i="20" l="1"/>
  <c r="O40" i="20" s="1"/>
  <c r="H40" i="20"/>
  <c r="E39" i="20"/>
  <c r="C13" i="19"/>
  <c r="D13" i="19" s="1"/>
  <c r="D41" i="20"/>
  <c r="N41" i="20" l="1"/>
  <c r="O41" i="20" s="1"/>
  <c r="H41" i="20"/>
  <c r="E40" i="20"/>
  <c r="L41" i="20"/>
  <c r="C14" i="19"/>
  <c r="D14" i="19" s="1"/>
  <c r="D42" i="20"/>
  <c r="N42" i="20" l="1"/>
  <c r="O42" i="20" s="1"/>
  <c r="H42" i="20"/>
  <c r="E41" i="20"/>
  <c r="C15" i="19"/>
  <c r="D15" i="19" s="1"/>
  <c r="E42" i="20" s="1"/>
  <c r="D43" i="20"/>
  <c r="N43" i="20" l="1"/>
  <c r="O43" i="20" s="1"/>
  <c r="H43" i="20"/>
  <c r="L43" i="20"/>
  <c r="C16" i="19"/>
  <c r="D44" i="20"/>
  <c r="N44" i="20" l="1"/>
  <c r="O44" i="20" s="1"/>
  <c r="H44" i="20"/>
  <c r="D16" i="19"/>
  <c r="E43" i="20" s="1"/>
  <c r="L44" i="20"/>
  <c r="C17" i="19"/>
  <c r="D17" i="19" s="1"/>
  <c r="E44" i="20" s="1"/>
  <c r="D45" i="20"/>
  <c r="N45" i="20" l="1"/>
  <c r="O45" i="20" s="1"/>
  <c r="H45" i="20"/>
  <c r="L45" i="20"/>
  <c r="D46" i="20"/>
  <c r="C18" i="19"/>
  <c r="D18" i="19" s="1"/>
  <c r="E45" i="20" s="1"/>
  <c r="N46" i="20" l="1"/>
  <c r="O46" i="20" s="1"/>
  <c r="H46" i="20"/>
  <c r="L46" i="20"/>
  <c r="D47" i="20"/>
  <c r="C19" i="19"/>
  <c r="D19" i="19" s="1"/>
  <c r="E46" i="20" s="1"/>
  <c r="N47" i="20" l="1"/>
  <c r="O47" i="20" s="1"/>
  <c r="H47" i="20"/>
  <c r="L47" i="20"/>
  <c r="D48" i="20"/>
  <c r="C20" i="19"/>
  <c r="D20" i="19" s="1"/>
  <c r="E47" i="20" s="1"/>
  <c r="N48" i="20" l="1"/>
  <c r="O48" i="20" s="1"/>
  <c r="H48" i="20"/>
  <c r="L48" i="20"/>
  <c r="D49" i="20"/>
  <c r="C21" i="19"/>
  <c r="E48" i="20" s="1"/>
  <c r="N49" i="20" l="1"/>
  <c r="O49" i="20" s="1"/>
  <c r="H49" i="20"/>
  <c r="D50" i="20"/>
  <c r="C22" i="19"/>
  <c r="N50" i="20" l="1"/>
  <c r="O50" i="20" s="1"/>
  <c r="H50" i="20"/>
  <c r="E49" i="20"/>
  <c r="L50" i="20"/>
  <c r="C23" i="19"/>
  <c r="E50" i="20" s="1"/>
  <c r="D51" i="20"/>
  <c r="N51" i="20" l="1"/>
  <c r="O51" i="20" s="1"/>
  <c r="H51" i="20"/>
  <c r="L51" i="20"/>
  <c r="D52" i="20"/>
  <c r="C24" i="19"/>
  <c r="N52" i="20" l="1"/>
  <c r="O52" i="20" s="1"/>
  <c r="H52" i="20"/>
  <c r="L52" i="20"/>
  <c r="E51" i="20"/>
  <c r="D53" i="20"/>
  <c r="C25" i="19"/>
  <c r="N53" i="20" l="1"/>
  <c r="O53" i="20" s="1"/>
  <c r="H53" i="20"/>
  <c r="E52" i="20"/>
  <c r="L53" i="20"/>
  <c r="D54" i="20"/>
  <c r="C26" i="19"/>
  <c r="E53" i="20" s="1"/>
  <c r="N54" i="20" l="1"/>
  <c r="O54" i="20" s="1"/>
  <c r="H54" i="20"/>
  <c r="L54" i="20"/>
  <c r="C27" i="19"/>
  <c r="D55" i="20"/>
  <c r="N55" i="20" l="1"/>
  <c r="O55" i="20" s="1"/>
  <c r="H55" i="20"/>
  <c r="L55" i="20"/>
  <c r="E54" i="20"/>
  <c r="C28" i="19"/>
  <c r="D56" i="20"/>
  <c r="N56" i="20" l="1"/>
  <c r="O56" i="20" s="1"/>
  <c r="H56" i="20"/>
  <c r="L56" i="20"/>
  <c r="E55" i="20"/>
  <c r="D57" i="20"/>
  <c r="C29" i="19"/>
  <c r="N57" i="20" l="1"/>
  <c r="O57" i="20" s="1"/>
  <c r="H57" i="20"/>
  <c r="E56" i="20"/>
  <c r="L57" i="20"/>
  <c r="C30" i="19"/>
  <c r="E57" i="20" s="1"/>
  <c r="D58" i="20"/>
  <c r="N58" i="20" l="1"/>
  <c r="O58" i="20" s="1"/>
  <c r="H58" i="20"/>
  <c r="L58" i="20"/>
  <c r="D59" i="20"/>
  <c r="C31" i="19"/>
  <c r="E58" i="20" s="1"/>
  <c r="N59" i="20" l="1"/>
  <c r="O59" i="20" s="1"/>
  <c r="H59" i="20"/>
  <c r="L59" i="20"/>
  <c r="C32" i="19"/>
  <c r="D60" i="20"/>
  <c r="N60" i="20" l="1"/>
  <c r="H60" i="20"/>
  <c r="L60" i="20"/>
  <c r="E59" i="20"/>
  <c r="C33" i="19"/>
  <c r="D61" i="20"/>
  <c r="N61" i="20" l="1"/>
  <c r="H61" i="20"/>
  <c r="E60" i="20"/>
  <c r="C34" i="19"/>
  <c r="E61" i="20" s="1"/>
  <c r="D62" i="20"/>
  <c r="L62" i="20" l="1"/>
  <c r="D63" i="20"/>
  <c r="N63" i="20" s="1"/>
  <c r="C35" i="19"/>
  <c r="L63" i="20" l="1"/>
  <c r="E62" i="20"/>
  <c r="D64" i="20"/>
  <c r="N64" i="20" s="1"/>
  <c r="C36" i="19"/>
  <c r="L64" i="20" l="1"/>
  <c r="E63" i="20"/>
  <c r="C37" i="19"/>
  <c r="E64" i="20" s="1"/>
  <c r="D65" i="20"/>
  <c r="N65" i="20" s="1"/>
  <c r="D66" i="20" l="1"/>
  <c r="N66" i="20" s="1"/>
  <c r="C38" i="19"/>
  <c r="E65" i="20" l="1"/>
  <c r="D67" i="20"/>
  <c r="N67" i="20" s="1"/>
  <c r="C39" i="19"/>
  <c r="E66" i="20" l="1"/>
  <c r="D68" i="20"/>
  <c r="C40" i="19"/>
  <c r="L68" i="20" l="1"/>
  <c r="M68" i="20" s="1"/>
  <c r="E67" i="20"/>
  <c r="D69" i="20"/>
  <c r="C41" i="19"/>
  <c r="L69" i="20" l="1"/>
  <c r="M69" i="20" s="1"/>
  <c r="D70" i="20"/>
  <c r="C42" i="19"/>
  <c r="L70" i="20" l="1"/>
  <c r="M70" i="20" s="1"/>
  <c r="C43" i="19"/>
  <c r="D71" i="20"/>
  <c r="L71" i="20" l="1"/>
  <c r="M71" i="20" s="1"/>
  <c r="D72" i="20"/>
  <c r="C44" i="19"/>
  <c r="L72" i="20" l="1"/>
  <c r="M72" i="20" s="1"/>
  <c r="C45" i="19"/>
  <c r="D73" i="20"/>
  <c r="L73" i="20" l="1"/>
  <c r="M73" i="20" s="1"/>
  <c r="D74" i="20"/>
  <c r="C46" i="19"/>
  <c r="L74" i="20" l="1"/>
  <c r="M74" i="20" s="1"/>
  <c r="D75" i="20"/>
  <c r="C47" i="19"/>
  <c r="L75" i="20" l="1"/>
  <c r="M75" i="20" s="1"/>
  <c r="D76" i="20"/>
  <c r="C48" i="19"/>
  <c r="L76" i="20" l="1"/>
  <c r="M76" i="20" s="1"/>
  <c r="D77" i="20"/>
  <c r="C49" i="19"/>
  <c r="L77" i="20" l="1"/>
  <c r="M77" i="20" s="1"/>
  <c r="D78" i="20"/>
  <c r="C50" i="19"/>
  <c r="L78" i="20" l="1"/>
  <c r="M78" i="20" s="1"/>
  <c r="C51" i="19"/>
  <c r="D79" i="20"/>
  <c r="L79" i="20" l="1"/>
  <c r="M79" i="20" s="1"/>
  <c r="D80" i="20"/>
  <c r="C52" i="19"/>
  <c r="L80" i="20" l="1"/>
  <c r="M80" i="20" s="1"/>
  <c r="D81" i="20"/>
  <c r="C53" i="19"/>
  <c r="L81" i="20" l="1"/>
  <c r="M81" i="20" s="1"/>
  <c r="D82" i="20"/>
  <c r="C54" i="19"/>
  <c r="L82" i="20" l="1"/>
  <c r="M82" i="20" s="1"/>
  <c r="D83" i="20"/>
  <c r="C55" i="19"/>
  <c r="L83" i="20" l="1"/>
  <c r="M83" i="20" s="1"/>
  <c r="D84" i="20"/>
  <c r="C56" i="19"/>
  <c r="L84" i="20" l="1"/>
  <c r="M84" i="20" s="1"/>
  <c r="D85" i="20"/>
  <c r="C57" i="19"/>
  <c r="L85" i="20" l="1"/>
  <c r="M85" i="20" s="1"/>
  <c r="D86" i="20"/>
  <c r="C58" i="19"/>
  <c r="L86" i="20" l="1"/>
  <c r="M86" i="20" s="1"/>
  <c r="D87" i="20"/>
  <c r="C59" i="19"/>
  <c r="L87" i="20" l="1"/>
  <c r="M87" i="20" s="1"/>
  <c r="D88" i="20"/>
  <c r="C60" i="19"/>
  <c r="L88" i="20" l="1"/>
  <c r="M88" i="20" s="1"/>
  <c r="C61" i="19"/>
  <c r="D89" i="20"/>
  <c r="L89" i="20" l="1"/>
  <c r="M89" i="20" s="1"/>
  <c r="D90" i="20"/>
  <c r="C62" i="19"/>
  <c r="L90" i="20" l="1"/>
  <c r="M90" i="20" s="1"/>
  <c r="D91" i="20"/>
  <c r="C63" i="19"/>
  <c r="L91" i="20" l="1"/>
  <c r="M91" i="20" s="1"/>
  <c r="D92" i="20"/>
  <c r="C64" i="19"/>
  <c r="L92" i="20" l="1"/>
  <c r="M92" i="20" s="1"/>
  <c r="D93" i="20"/>
  <c r="C65" i="19"/>
  <c r="L93" i="20" l="1"/>
  <c r="M93" i="20" s="1"/>
  <c r="C66" i="19"/>
  <c r="D94" i="20"/>
  <c r="L94" i="20" l="1"/>
  <c r="M94" i="20" s="1"/>
  <c r="D95" i="20"/>
  <c r="C67" i="19"/>
  <c r="L95" i="20" l="1"/>
  <c r="M95" i="20" s="1"/>
  <c r="C68" i="19"/>
  <c r="D96" i="20"/>
  <c r="L96" i="20" l="1"/>
  <c r="M96" i="20" s="1"/>
  <c r="D97" i="20"/>
  <c r="C69" i="19"/>
  <c r="L97" i="20" l="1"/>
  <c r="M97" i="20" s="1"/>
  <c r="D98" i="20"/>
  <c r="C70" i="19"/>
  <c r="N98" i="20" l="1"/>
  <c r="H98" i="20"/>
  <c r="L98" i="20"/>
  <c r="M98" i="20" s="1"/>
  <c r="F98" i="20"/>
  <c r="E98" i="20"/>
  <c r="R98" i="20"/>
  <c r="U98" i="20"/>
  <c r="G98" i="20"/>
  <c r="D99" i="20"/>
  <c r="C71" i="19"/>
  <c r="N99" i="20" l="1"/>
  <c r="H99" i="20"/>
  <c r="L99" i="20"/>
  <c r="M99" i="20" s="1"/>
  <c r="R99" i="20"/>
  <c r="U99" i="20"/>
  <c r="G99" i="20"/>
  <c r="F99" i="20"/>
  <c r="E99" i="20"/>
  <c r="C72" i="19"/>
  <c r="D100" i="20"/>
  <c r="N100" i="20" l="1"/>
  <c r="H100" i="20"/>
  <c r="L100" i="20"/>
  <c r="M100" i="20" s="1"/>
  <c r="F100" i="20"/>
  <c r="R100" i="20"/>
  <c r="G100" i="20"/>
  <c r="E100" i="20"/>
  <c r="U100" i="20"/>
  <c r="C73" i="19"/>
  <c r="D101" i="20"/>
  <c r="N101" i="20" l="1"/>
  <c r="H101" i="20"/>
  <c r="L101" i="20"/>
  <c r="M101" i="20" s="1"/>
  <c r="R101" i="20"/>
  <c r="G101" i="20"/>
  <c r="U101" i="20"/>
  <c r="E101" i="20"/>
  <c r="F101" i="20"/>
  <c r="C74" i="19"/>
  <c r="D102" i="20"/>
  <c r="N102" i="20" l="1"/>
  <c r="H102" i="20"/>
  <c r="L102" i="20"/>
  <c r="M102" i="20" s="1"/>
  <c r="F102" i="20"/>
  <c r="R102" i="20"/>
  <c r="E102" i="20"/>
  <c r="U102" i="20"/>
  <c r="G102" i="20"/>
  <c r="C75" i="19"/>
  <c r="D103" i="20"/>
  <c r="N103" i="20" l="1"/>
  <c r="H103" i="20"/>
  <c r="L103" i="20"/>
  <c r="M103" i="20" s="1"/>
  <c r="U103" i="20"/>
  <c r="G103" i="20"/>
  <c r="R103" i="20"/>
  <c r="E103" i="20"/>
  <c r="F103" i="20"/>
  <c r="C76" i="19"/>
  <c r="D104" i="20"/>
  <c r="N104" i="20" l="1"/>
  <c r="H104" i="20"/>
  <c r="L104" i="20"/>
  <c r="M104" i="20" s="1"/>
  <c r="F104" i="20"/>
  <c r="U104" i="20"/>
  <c r="E104" i="20"/>
  <c r="R104" i="20"/>
  <c r="G104" i="20"/>
  <c r="C77" i="19"/>
  <c r="D105" i="20"/>
  <c r="N105" i="20" l="1"/>
  <c r="H105" i="20"/>
  <c r="L105" i="20"/>
  <c r="M105" i="20" s="1"/>
  <c r="U105" i="20"/>
  <c r="G105" i="20"/>
  <c r="R105" i="20"/>
  <c r="F105" i="20"/>
  <c r="E105" i="20"/>
  <c r="C78" i="19"/>
  <c r="D106" i="20"/>
  <c r="N106" i="20" l="1"/>
  <c r="H106" i="20"/>
  <c r="L106" i="20"/>
  <c r="M106" i="20" s="1"/>
  <c r="F106" i="20"/>
  <c r="G106" i="20"/>
  <c r="E106" i="20"/>
  <c r="R106" i="20"/>
  <c r="U106" i="20"/>
  <c r="C79" i="19"/>
  <c r="D107" i="20"/>
  <c r="H107" i="20" s="1"/>
  <c r="D17" i="22" l="1"/>
  <c r="N107" i="20"/>
  <c r="L107" i="20"/>
  <c r="M107" i="20" s="1"/>
  <c r="R107" i="20"/>
  <c r="G107" i="20"/>
  <c r="E107" i="20"/>
  <c r="U107" i="20"/>
  <c r="F107" i="20"/>
  <c r="C80" i="19"/>
  <c r="D108" i="20"/>
  <c r="N108" i="20" l="1"/>
  <c r="H108" i="20"/>
  <c r="L108" i="20"/>
  <c r="M108" i="20" s="1"/>
  <c r="F108" i="20"/>
  <c r="R108" i="20"/>
  <c r="E108" i="20"/>
  <c r="G108" i="20"/>
  <c r="U108" i="20"/>
  <c r="C81" i="19"/>
  <c r="D109" i="20"/>
  <c r="N109" i="20" l="1"/>
  <c r="H109" i="20"/>
  <c r="L109" i="20"/>
  <c r="M109" i="20" s="1"/>
  <c r="E109" i="20"/>
  <c r="G109" i="20"/>
  <c r="U109" i="20"/>
  <c r="F109" i="20"/>
  <c r="R109" i="20"/>
  <c r="C82" i="19"/>
  <c r="D110" i="20"/>
  <c r="N110" i="20" l="1"/>
  <c r="H110" i="20"/>
  <c r="L110" i="20"/>
  <c r="M110" i="20" s="1"/>
  <c r="F110" i="20"/>
  <c r="E110" i="20"/>
  <c r="U110" i="20"/>
  <c r="G110" i="20"/>
  <c r="R110" i="20"/>
  <c r="C83" i="19"/>
  <c r="D111" i="20"/>
  <c r="N111" i="20" l="1"/>
  <c r="H111" i="20"/>
  <c r="L111" i="20"/>
  <c r="M111" i="20" s="1"/>
  <c r="U111" i="20"/>
  <c r="G111" i="20"/>
  <c r="E111" i="20"/>
  <c r="R111" i="20"/>
  <c r="F111" i="20"/>
  <c r="C84" i="19"/>
  <c r="D112" i="20"/>
  <c r="N112" i="20" l="1"/>
  <c r="H112" i="20"/>
  <c r="L112" i="20"/>
  <c r="M112" i="20" s="1"/>
  <c r="F112" i="20"/>
  <c r="U112" i="20"/>
  <c r="E112" i="20"/>
  <c r="R112" i="20"/>
  <c r="G112" i="20"/>
  <c r="C85" i="19"/>
  <c r="D113" i="20"/>
  <c r="N113" i="20" l="1"/>
  <c r="H113" i="20"/>
  <c r="L113" i="20"/>
  <c r="M113" i="20" s="1"/>
  <c r="R113" i="20"/>
  <c r="E113" i="20"/>
  <c r="G113" i="20"/>
  <c r="U113" i="20"/>
  <c r="F113" i="20"/>
  <c r="C86" i="19"/>
  <c r="D114" i="20"/>
  <c r="N114" i="20" l="1"/>
  <c r="H114" i="20"/>
  <c r="L114" i="20"/>
  <c r="M114" i="20" s="1"/>
  <c r="F114" i="20"/>
  <c r="U114" i="20"/>
  <c r="G114" i="20"/>
  <c r="E114" i="20"/>
  <c r="R114" i="20"/>
  <c r="C87" i="19"/>
  <c r="D115" i="20"/>
  <c r="N115" i="20" l="1"/>
  <c r="H115" i="20"/>
  <c r="L115" i="20"/>
  <c r="M115" i="20" s="1"/>
  <c r="R115" i="20"/>
  <c r="G115" i="20"/>
  <c r="E115" i="20"/>
  <c r="F115" i="20"/>
  <c r="U115" i="20"/>
  <c r="C88" i="19"/>
  <c r="D116" i="20"/>
  <c r="N116" i="20" l="1"/>
  <c r="H116" i="20"/>
  <c r="L116" i="20"/>
  <c r="M116" i="20" s="1"/>
  <c r="F116" i="20"/>
  <c r="R116" i="20"/>
  <c r="E116" i="20"/>
  <c r="G116" i="20"/>
  <c r="U116" i="20"/>
  <c r="C89" i="19"/>
  <c r="D117" i="20"/>
  <c r="N117" i="20" l="1"/>
  <c r="H117" i="20"/>
  <c r="L117" i="20"/>
  <c r="M117" i="20" s="1"/>
  <c r="G117" i="20"/>
  <c r="U117" i="20"/>
  <c r="R117" i="20"/>
  <c r="F117" i="20"/>
  <c r="E117" i="20"/>
  <c r="C90" i="19"/>
  <c r="D118" i="20"/>
  <c r="N118" i="20" l="1"/>
  <c r="H118" i="20"/>
  <c r="L118" i="20"/>
  <c r="M118" i="20" s="1"/>
  <c r="F118" i="20"/>
  <c r="E118" i="20"/>
  <c r="U118" i="20"/>
  <c r="R118" i="20"/>
  <c r="G118" i="20"/>
  <c r="C91" i="19"/>
  <c r="D119" i="20"/>
  <c r="N119" i="20" l="1"/>
  <c r="H119" i="20"/>
  <c r="L119" i="20"/>
  <c r="M119" i="20" s="1"/>
  <c r="U119" i="20"/>
  <c r="R119" i="20"/>
  <c r="G119" i="20"/>
  <c r="E119" i="20"/>
  <c r="F119" i="20"/>
  <c r="C92" i="19"/>
  <c r="D120" i="20"/>
  <c r="N120" i="20" l="1"/>
  <c r="H120" i="20"/>
  <c r="L120" i="20"/>
  <c r="M120" i="20" s="1"/>
  <c r="F120" i="20"/>
  <c r="U120" i="20"/>
  <c r="E120" i="20"/>
  <c r="G120" i="20"/>
  <c r="R120" i="20"/>
  <c r="C93" i="19"/>
  <c r="D121" i="20"/>
  <c r="N121" i="20" l="1"/>
  <c r="H121" i="20"/>
  <c r="L121" i="20"/>
  <c r="M121" i="20" s="1"/>
  <c r="U121" i="20"/>
  <c r="G121" i="20"/>
  <c r="R121" i="20"/>
  <c r="E121" i="20"/>
  <c r="F121" i="20"/>
  <c r="C94" i="19"/>
  <c r="D122" i="20"/>
  <c r="N122" i="20" l="1"/>
  <c r="H122" i="20"/>
  <c r="L122" i="20"/>
  <c r="M122" i="20" s="1"/>
  <c r="F122" i="20"/>
  <c r="E122" i="20"/>
  <c r="R122" i="20"/>
  <c r="U122" i="20"/>
  <c r="G122" i="20"/>
  <c r="C95" i="19"/>
  <c r="D123" i="20"/>
  <c r="N123" i="20" l="1"/>
  <c r="H123" i="20"/>
  <c r="L123" i="20"/>
  <c r="M123" i="20" s="1"/>
  <c r="R123" i="20"/>
  <c r="U123" i="20"/>
  <c r="G123" i="20"/>
  <c r="E123" i="20"/>
  <c r="F123" i="20"/>
  <c r="C96" i="19"/>
  <c r="D124" i="20"/>
  <c r="N124" i="20" l="1"/>
  <c r="H124" i="20"/>
  <c r="L124" i="20"/>
  <c r="M124" i="20" s="1"/>
  <c r="F124" i="20"/>
  <c r="R124" i="20"/>
  <c r="G124" i="20"/>
  <c r="E124" i="20"/>
  <c r="U124" i="20"/>
  <c r="C97" i="19"/>
  <c r="D125" i="20"/>
  <c r="N125" i="20" l="1"/>
  <c r="H125" i="20"/>
  <c r="L125" i="20"/>
  <c r="M125" i="20" s="1"/>
  <c r="U125" i="20"/>
  <c r="G125" i="20"/>
  <c r="E125" i="20"/>
  <c r="R125" i="20"/>
  <c r="F125" i="20"/>
  <c r="C98" i="19"/>
  <c r="D126" i="20"/>
  <c r="N126" i="20" l="1"/>
  <c r="H126" i="20"/>
  <c r="L126" i="20"/>
  <c r="M126" i="20" s="1"/>
  <c r="F126" i="20"/>
  <c r="R126" i="20"/>
  <c r="E126" i="20"/>
  <c r="U126" i="20"/>
  <c r="G126" i="20"/>
  <c r="C99" i="19"/>
  <c r="D127" i="20"/>
  <c r="N127" i="20" l="1"/>
  <c r="H127" i="20"/>
  <c r="L127" i="20"/>
  <c r="M127" i="20" s="1"/>
  <c r="U127" i="20"/>
  <c r="G127" i="20"/>
  <c r="E127" i="20"/>
  <c r="F127" i="20"/>
  <c r="R127" i="20"/>
  <c r="C100" i="19"/>
  <c r="D128" i="20"/>
  <c r="N128" i="20" l="1"/>
  <c r="H128" i="20"/>
  <c r="L128" i="20"/>
  <c r="M128" i="20" s="1"/>
  <c r="F128" i="20"/>
  <c r="U128" i="20"/>
  <c r="E128" i="20"/>
  <c r="R128" i="20"/>
  <c r="G128" i="20"/>
  <c r="C101" i="19"/>
  <c r="D129" i="20"/>
  <c r="N129" i="20" l="1"/>
  <c r="H129" i="20"/>
  <c r="D18" i="22"/>
  <c r="L129" i="20"/>
  <c r="M129" i="20" s="1"/>
  <c r="R129" i="20"/>
  <c r="G129" i="20"/>
  <c r="E129" i="20"/>
  <c r="F129" i="20"/>
  <c r="U129" i="20"/>
  <c r="C102" i="19"/>
  <c r="Q36" i="20" l="1"/>
  <c r="B33" i="20"/>
  <c r="P219" i="14"/>
  <c r="R39" i="20"/>
  <c r="U39" i="20"/>
  <c r="N62" i="20" l="1"/>
  <c r="L61" i="20"/>
  <c r="L40" i="20"/>
  <c r="L39" i="20"/>
  <c r="J39" i="20"/>
  <c r="L49" i="20"/>
  <c r="L42" i="20"/>
  <c r="U40" i="20"/>
  <c r="R40" i="20"/>
  <c r="R41" i="20" l="1"/>
  <c r="U41" i="20"/>
  <c r="R42" i="20" l="1"/>
  <c r="U42" i="20"/>
  <c r="R43" i="20" l="1"/>
  <c r="U43" i="20"/>
  <c r="U44" i="20" l="1"/>
  <c r="R44" i="20"/>
  <c r="R45" i="20" l="1"/>
  <c r="U45" i="20"/>
  <c r="R46" i="20" l="1"/>
  <c r="U46" i="20"/>
  <c r="R47" i="20" l="1"/>
  <c r="U47" i="20"/>
  <c r="U48" i="20" l="1"/>
  <c r="R48" i="20"/>
  <c r="R49" i="20" l="1"/>
  <c r="U49" i="20"/>
  <c r="R50" i="20" l="1"/>
  <c r="U50" i="20"/>
  <c r="R51" i="20" l="1"/>
  <c r="U51" i="20"/>
  <c r="U52" i="20" l="1"/>
  <c r="R52" i="20"/>
  <c r="R53" i="20" l="1"/>
  <c r="U53" i="20"/>
  <c r="U54" i="20" l="1"/>
  <c r="R54" i="20"/>
  <c r="R55" i="20" l="1"/>
  <c r="U55" i="20"/>
  <c r="U56" i="20" l="1"/>
  <c r="R56" i="20"/>
  <c r="R57" i="20" l="1"/>
  <c r="U57" i="20"/>
  <c r="R58" i="20" l="1"/>
  <c r="U58" i="20"/>
  <c r="R59" i="20" l="1"/>
  <c r="U59" i="20"/>
  <c r="U60" i="20"/>
  <c r="U61" i="20"/>
  <c r="R60" i="20"/>
  <c r="R61" i="20"/>
  <c r="H62" i="20" l="1"/>
  <c r="R62" i="20"/>
  <c r="U62" i="20"/>
  <c r="O62" i="20"/>
  <c r="H63" i="20" l="1"/>
  <c r="R63" i="20"/>
  <c r="U63" i="20"/>
  <c r="O63" i="20"/>
  <c r="O61" i="20"/>
  <c r="H64" i="20" l="1"/>
  <c r="R64" i="20"/>
  <c r="O64" i="20"/>
  <c r="U64" i="20"/>
  <c r="O60" i="20"/>
  <c r="H65" i="20" l="1"/>
  <c r="R65" i="20"/>
  <c r="O65" i="20"/>
  <c r="U65" i="20"/>
  <c r="H66" i="20" l="1"/>
  <c r="U66" i="20"/>
  <c r="R66" i="20"/>
  <c r="O66" i="20"/>
  <c r="H67" i="20" l="1"/>
  <c r="O67" i="20"/>
  <c r="U67" i="20"/>
  <c r="R67" i="20"/>
  <c r="C68" i="20"/>
  <c r="C67" i="20" s="1"/>
  <c r="C66" i="20" l="1"/>
  <c r="G67" i="20"/>
  <c r="F67" i="20"/>
  <c r="R68" i="20"/>
  <c r="C69" i="20"/>
  <c r="C65" i="20" l="1"/>
  <c r="G66" i="20"/>
  <c r="F66" i="20"/>
  <c r="C70" i="20"/>
  <c r="R69" i="20"/>
  <c r="C64" i="20" l="1"/>
  <c r="F65" i="20"/>
  <c r="G65" i="20"/>
  <c r="R70" i="20"/>
  <c r="C71" i="20"/>
  <c r="M64" i="20" l="1"/>
  <c r="C63" i="20"/>
  <c r="F64" i="20"/>
  <c r="G64" i="20"/>
  <c r="R71" i="20"/>
  <c r="C72" i="20"/>
  <c r="M63" i="20" l="1"/>
  <c r="C62" i="20"/>
  <c r="G63" i="20"/>
  <c r="F63" i="20"/>
  <c r="C73" i="20"/>
  <c r="R72" i="20"/>
  <c r="M62" i="20" l="1"/>
  <c r="G62" i="20"/>
  <c r="C61" i="20"/>
  <c r="F62" i="20"/>
  <c r="C74" i="20"/>
  <c r="R73" i="20"/>
  <c r="M61" i="20" l="1"/>
  <c r="G61" i="20"/>
  <c r="C60" i="20"/>
  <c r="F61" i="20"/>
  <c r="R74" i="20"/>
  <c r="C75" i="20"/>
  <c r="M60" i="20" l="1"/>
  <c r="F60" i="20"/>
  <c r="C59" i="20"/>
  <c r="G60" i="20"/>
  <c r="C76" i="20"/>
  <c r="R75" i="20"/>
  <c r="G59" i="20" l="1"/>
  <c r="F59" i="20"/>
  <c r="C58" i="20"/>
  <c r="M59" i="20"/>
  <c r="R76" i="20"/>
  <c r="C77" i="20"/>
  <c r="G58" i="20" l="1"/>
  <c r="F58" i="20"/>
  <c r="M58" i="20"/>
  <c r="C57" i="20"/>
  <c r="C78" i="20"/>
  <c r="R77" i="20"/>
  <c r="G57" i="20" l="1"/>
  <c r="F57" i="20"/>
  <c r="C56" i="20"/>
  <c r="M57" i="20"/>
  <c r="C79" i="20"/>
  <c r="R78" i="20"/>
  <c r="C55" i="20" l="1"/>
  <c r="G56" i="20"/>
  <c r="M56" i="20"/>
  <c r="F56" i="20"/>
  <c r="R79" i="20"/>
  <c r="C80" i="20"/>
  <c r="F55" i="20" l="1"/>
  <c r="C54" i="20"/>
  <c r="M55" i="20"/>
  <c r="G55" i="20"/>
  <c r="R80" i="20"/>
  <c r="C81" i="20"/>
  <c r="F54" i="20" l="1"/>
  <c r="G54" i="20"/>
  <c r="C53" i="20"/>
  <c r="M54" i="20"/>
  <c r="C82" i="20"/>
  <c r="R81" i="20"/>
  <c r="F53" i="20" l="1"/>
  <c r="M53" i="20"/>
  <c r="G53" i="20"/>
  <c r="C52" i="20"/>
  <c r="R82" i="20"/>
  <c r="C83" i="20"/>
  <c r="M52" i="20" l="1"/>
  <c r="C51" i="20"/>
  <c r="G52" i="20"/>
  <c r="F52" i="20"/>
  <c r="C84" i="20"/>
  <c r="R83" i="20"/>
  <c r="F51" i="20" l="1"/>
  <c r="M51" i="20"/>
  <c r="C50" i="20"/>
  <c r="G51" i="20"/>
  <c r="C85" i="20"/>
  <c r="R84" i="20"/>
  <c r="F50" i="20" l="1"/>
  <c r="G50" i="20"/>
  <c r="M50" i="20"/>
  <c r="C49" i="20"/>
  <c r="C86" i="20"/>
  <c r="R85" i="20"/>
  <c r="C48" i="20" l="1"/>
  <c r="G49" i="20"/>
  <c r="F49" i="20"/>
  <c r="M49" i="20"/>
  <c r="R86" i="20"/>
  <c r="C87" i="20"/>
  <c r="F48" i="20" l="1"/>
  <c r="M48" i="20"/>
  <c r="C47" i="20"/>
  <c r="G48" i="20"/>
  <c r="C88" i="20"/>
  <c r="R87" i="20"/>
  <c r="F47" i="20" l="1"/>
  <c r="C46" i="20"/>
  <c r="G47" i="20"/>
  <c r="M47" i="20"/>
  <c r="C89" i="20"/>
  <c r="R88" i="20"/>
  <c r="M46" i="20" l="1"/>
  <c r="G46" i="20"/>
  <c r="F46" i="20"/>
  <c r="C45" i="20"/>
  <c r="R89" i="20"/>
  <c r="C90" i="20"/>
  <c r="F45" i="20" l="1"/>
  <c r="C44" i="20"/>
  <c r="M45" i="20"/>
  <c r="G45" i="20"/>
  <c r="R90" i="20"/>
  <c r="C91" i="20"/>
  <c r="G44" i="20" l="1"/>
  <c r="M44" i="20"/>
  <c r="C43" i="20"/>
  <c r="F44" i="20"/>
  <c r="R91" i="20"/>
  <c r="C92" i="20"/>
  <c r="R92" i="20" l="1"/>
  <c r="F43" i="20"/>
  <c r="M43" i="20"/>
  <c r="C42" i="20"/>
  <c r="G43" i="20"/>
  <c r="C93" i="20"/>
  <c r="M42" i="20" l="1"/>
  <c r="G42" i="20"/>
  <c r="F42" i="20"/>
  <c r="C41" i="20"/>
  <c r="R93" i="20"/>
  <c r="C94" i="20"/>
  <c r="M41" i="20" l="1"/>
  <c r="C40" i="20"/>
  <c r="F41" i="20"/>
  <c r="G41" i="20"/>
  <c r="R94" i="20"/>
  <c r="C95" i="20"/>
  <c r="C39" i="20" l="1"/>
  <c r="F40" i="20"/>
  <c r="M40" i="20"/>
  <c r="G40" i="20"/>
  <c r="R95" i="20"/>
  <c r="C96" i="20"/>
  <c r="M39" i="20" l="1"/>
  <c r="F39" i="20"/>
  <c r="G39" i="20"/>
  <c r="K39" i="20"/>
  <c r="K29" i="20" s="1"/>
  <c r="H20" i="20" s="1"/>
  <c r="R96" i="20"/>
  <c r="C97" i="20"/>
  <c r="R97" i="20" l="1"/>
  <c r="R29" i="20" s="1"/>
  <c r="G22" i="25"/>
  <c r="C98" i="20"/>
  <c r="G27" i="25" l="1"/>
  <c r="O98" i="20"/>
  <c r="C99" i="20"/>
  <c r="C100" i="20" l="1"/>
  <c r="O99" i="20"/>
  <c r="C101" i="20" l="1"/>
  <c r="O100" i="20"/>
  <c r="O101" i="20" l="1"/>
  <c r="C102" i="20"/>
  <c r="C103" i="20" l="1"/>
  <c r="O102" i="20"/>
  <c r="C104" i="20" l="1"/>
  <c r="O103" i="20"/>
  <c r="C105" i="20" l="1"/>
  <c r="O104" i="20"/>
  <c r="O105" i="20" l="1"/>
  <c r="C106" i="20"/>
  <c r="C107" i="20" l="1"/>
  <c r="G29" i="25" s="1"/>
  <c r="O106" i="20"/>
  <c r="C108" i="20" l="1"/>
  <c r="O107" i="20"/>
  <c r="C109" i="20" l="1"/>
  <c r="O108" i="20"/>
  <c r="C110" i="20" l="1"/>
  <c r="O109" i="20"/>
  <c r="C111" i="20" l="1"/>
  <c r="O110" i="20"/>
  <c r="C112" i="20" l="1"/>
  <c r="O111" i="20"/>
  <c r="O112" i="20" l="1"/>
  <c r="C113" i="20"/>
  <c r="C114" i="20" l="1"/>
  <c r="O113" i="20"/>
  <c r="O114" i="20" l="1"/>
  <c r="C115" i="20"/>
  <c r="C116" i="20" l="1"/>
  <c r="O115" i="20"/>
  <c r="C117" i="20" l="1"/>
  <c r="O116" i="20"/>
  <c r="C118" i="20" l="1"/>
  <c r="O117" i="20"/>
  <c r="C119" i="20" l="1"/>
  <c r="O118" i="20"/>
  <c r="C120" i="20" l="1"/>
  <c r="O119" i="20"/>
  <c r="C121" i="20" l="1"/>
  <c r="O120" i="20"/>
  <c r="C122" i="20" l="1"/>
  <c r="O121" i="20"/>
  <c r="O122" i="20" l="1"/>
  <c r="C123" i="20"/>
  <c r="O123" i="20" l="1"/>
  <c r="C124" i="20"/>
  <c r="C125" i="20" l="1"/>
  <c r="O124" i="20"/>
  <c r="C126" i="20" l="1"/>
  <c r="O125" i="20"/>
  <c r="C127" i="20" l="1"/>
  <c r="O126" i="20"/>
  <c r="C128" i="20" l="1"/>
  <c r="O127" i="20"/>
  <c r="O128" i="20" l="1"/>
  <c r="C129" i="20"/>
  <c r="O129" i="20" s="1"/>
  <c r="P25" i="17" l="1"/>
  <c r="P22" i="17"/>
  <c r="P46" i="17"/>
  <c r="P33" i="17"/>
  <c r="P34" i="17"/>
  <c r="P45" i="17"/>
  <c r="P32" i="17"/>
  <c r="P28" i="17"/>
  <c r="P44" i="17"/>
  <c r="P31" i="17"/>
  <c r="P30" i="17"/>
  <c r="P43" i="17"/>
  <c r="P41" i="17"/>
  <c r="P42" i="17"/>
  <c r="P29" i="17"/>
  <c r="P49" i="17"/>
  <c r="P52" i="17"/>
  <c r="P40" i="17"/>
  <c r="P27" i="17"/>
  <c r="N73" i="20" s="1"/>
  <c r="O73" i="20" s="1"/>
  <c r="P51" i="17"/>
  <c r="P39" i="17"/>
  <c r="P26" i="17"/>
  <c r="P50" i="17"/>
  <c r="P38" i="17"/>
  <c r="P24" i="17"/>
  <c r="P48" i="17"/>
  <c r="P35" i="17"/>
  <c r="P47" i="17"/>
  <c r="P23" i="17"/>
  <c r="D41" i="19" l="1" a="1"/>
  <c r="I23" i="16" l="1"/>
  <c r="I24" i="16"/>
  <c r="I22" i="16"/>
  <c r="D41" i="19"/>
  <c r="E68" i="20" s="1"/>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H94" i="20" l="1"/>
  <c r="F94" i="20"/>
  <c r="G94" i="20"/>
  <c r="H82" i="20"/>
  <c r="G82" i="20"/>
  <c r="F82" i="20"/>
  <c r="H70" i="20"/>
  <c r="G70" i="20"/>
  <c r="F70" i="20"/>
  <c r="H93" i="20"/>
  <c r="G93" i="20"/>
  <c r="F93" i="20"/>
  <c r="H81" i="20"/>
  <c r="G81" i="20"/>
  <c r="F81" i="20"/>
  <c r="H69" i="20"/>
  <c r="F69" i="20"/>
  <c r="G69" i="20"/>
  <c r="F92" i="20"/>
  <c r="G92" i="20"/>
  <c r="H92" i="20"/>
  <c r="F80" i="20"/>
  <c r="H80" i="20"/>
  <c r="G80" i="20"/>
  <c r="E29" i="20"/>
  <c r="H68" i="20"/>
  <c r="F68" i="20"/>
  <c r="G68" i="20"/>
  <c r="H91" i="20"/>
  <c r="F91" i="20"/>
  <c r="G91" i="20"/>
  <c r="F79" i="20"/>
  <c r="H79" i="20"/>
  <c r="G79" i="20"/>
  <c r="H90" i="20"/>
  <c r="F90" i="20"/>
  <c r="G90" i="20"/>
  <c r="G78" i="20"/>
  <c r="H78" i="20"/>
  <c r="F78" i="20"/>
  <c r="G89" i="20"/>
  <c r="H89" i="20"/>
  <c r="F89" i="20"/>
  <c r="G77" i="20"/>
  <c r="H77" i="20"/>
  <c r="F77" i="20"/>
  <c r="H88" i="20"/>
  <c r="G88" i="20"/>
  <c r="F88" i="20"/>
  <c r="H76" i="20"/>
  <c r="G76" i="20"/>
  <c r="F76" i="20"/>
  <c r="H87" i="20"/>
  <c r="G87" i="20"/>
  <c r="F87" i="20"/>
  <c r="H75" i="20"/>
  <c r="F75" i="20"/>
  <c r="G75" i="20"/>
  <c r="F86" i="20"/>
  <c r="H86" i="20"/>
  <c r="G86" i="20"/>
  <c r="F74" i="20"/>
  <c r="H74" i="20"/>
  <c r="G74" i="20"/>
  <c r="H97" i="20"/>
  <c r="F97" i="20"/>
  <c r="G97" i="20"/>
  <c r="H85" i="20"/>
  <c r="G85" i="20"/>
  <c r="F85" i="20"/>
  <c r="G73" i="20"/>
  <c r="H73" i="20"/>
  <c r="F73" i="20"/>
  <c r="F96" i="20"/>
  <c r="H96" i="20"/>
  <c r="G96" i="20"/>
  <c r="H84" i="20"/>
  <c r="F84" i="20"/>
  <c r="G84" i="20"/>
  <c r="F72" i="20"/>
  <c r="H72" i="20"/>
  <c r="G72" i="20"/>
  <c r="H95" i="20"/>
  <c r="G95" i="20"/>
  <c r="F95" i="20"/>
  <c r="F83" i="20"/>
  <c r="H83" i="20"/>
  <c r="G83" i="20"/>
  <c r="H71" i="20"/>
  <c r="G71" i="20"/>
  <c r="F71" i="20"/>
  <c r="G29" i="20" l="1"/>
  <c r="F29" i="20"/>
  <c r="H21" i="20" s="1"/>
  <c r="H29" i="20"/>
  <c r="L21" i="20" s="1"/>
  <c r="J182" i="16"/>
  <c r="J195" i="14"/>
  <c r="J171" i="14"/>
  <c r="J203" i="16"/>
  <c r="J158" i="16"/>
  <c r="J134" i="16"/>
  <c r="J126" i="14"/>
  <c r="J202" i="14"/>
  <c r="J178" i="14"/>
  <c r="J133" i="14"/>
  <c r="J165" i="16"/>
  <c r="J141" i="16"/>
  <c r="J213" i="16"/>
  <c r="J122" i="14"/>
  <c r="J146" i="14"/>
  <c r="J123" i="14"/>
  <c r="J112" i="16"/>
  <c r="J98" i="16"/>
  <c r="J74" i="16"/>
  <c r="J50" i="16"/>
  <c r="J26" i="16"/>
  <c r="J67" i="16"/>
  <c r="J116" i="14"/>
  <c r="J92" i="14"/>
  <c r="J68" i="14"/>
  <c r="J44" i="14"/>
  <c r="J109" i="16"/>
  <c r="J57" i="16"/>
  <c r="J115" i="14"/>
  <c r="J91" i="14"/>
  <c r="J67" i="14"/>
  <c r="J31" i="14"/>
  <c r="J84" i="16"/>
  <c r="J77" i="16"/>
  <c r="J77" i="14"/>
  <c r="J73" i="14"/>
  <c r="J29" i="14"/>
  <c r="J35" i="14"/>
  <c r="J217" i="14"/>
  <c r="J193" i="14"/>
  <c r="J169" i="14"/>
  <c r="J195" i="16"/>
  <c r="J156" i="16"/>
  <c r="J132" i="16"/>
  <c r="J216" i="16"/>
  <c r="J200" i="14"/>
  <c r="J176" i="14"/>
  <c r="J125" i="14"/>
  <c r="J163" i="16"/>
  <c r="J139" i="16"/>
  <c r="J178" i="16"/>
  <c r="J217" i="16"/>
  <c r="J143" i="14"/>
  <c r="J120" i="14"/>
  <c r="J110" i="16"/>
  <c r="J96" i="16"/>
  <c r="J72" i="16"/>
  <c r="J48" i="16"/>
  <c r="J218" i="16"/>
  <c r="J63" i="16"/>
  <c r="J114" i="14"/>
  <c r="J90" i="14"/>
  <c r="J66" i="14"/>
  <c r="J42" i="14"/>
  <c r="J101" i="16"/>
  <c r="J53" i="16"/>
  <c r="J113" i="14"/>
  <c r="J89" i="14"/>
  <c r="J65" i="14"/>
  <c r="J27" i="14"/>
  <c r="J115" i="16"/>
  <c r="J29" i="16"/>
  <c r="J37" i="14"/>
  <c r="J58" i="16"/>
  <c r="J215" i="14"/>
  <c r="J191" i="14"/>
  <c r="J167" i="14"/>
  <c r="J187" i="16"/>
  <c r="J154" i="16"/>
  <c r="J130" i="16"/>
  <c r="J208" i="16"/>
  <c r="J198" i="14"/>
  <c r="J174" i="14"/>
  <c r="J215" i="16"/>
  <c r="J161" i="16"/>
  <c r="J137" i="16"/>
  <c r="J147" i="14"/>
  <c r="J204" i="16"/>
  <c r="J130" i="14"/>
  <c r="J205" i="16"/>
  <c r="J108" i="16"/>
  <c r="J94" i="16"/>
  <c r="J70" i="16"/>
  <c r="J46" i="16"/>
  <c r="J113" i="16"/>
  <c r="J59" i="16"/>
  <c r="J112" i="14"/>
  <c r="J88" i="14"/>
  <c r="J64" i="14"/>
  <c r="J40" i="14"/>
  <c r="J97" i="16"/>
  <c r="J49" i="16"/>
  <c r="J111" i="14"/>
  <c r="J87" i="14"/>
  <c r="J63" i="14"/>
  <c r="J181" i="16"/>
  <c r="J156" i="14"/>
  <c r="J213" i="14"/>
  <c r="J189" i="14"/>
  <c r="J165" i="14"/>
  <c r="J179" i="16"/>
  <c r="J152" i="16"/>
  <c r="J128" i="16"/>
  <c r="J200" i="16"/>
  <c r="J196" i="14"/>
  <c r="J172" i="14"/>
  <c r="J207" i="16"/>
  <c r="J159" i="16"/>
  <c r="J135" i="16"/>
  <c r="J144" i="14"/>
  <c r="J201" i="16"/>
  <c r="J127" i="14"/>
  <c r="J202" i="16"/>
  <c r="J106" i="16"/>
  <c r="J92" i="16"/>
  <c r="J68" i="16"/>
  <c r="J44" i="16"/>
  <c r="J105" i="16"/>
  <c r="J55" i="16"/>
  <c r="J110" i="14"/>
  <c r="J86" i="14"/>
  <c r="J62" i="14"/>
  <c r="J38" i="14"/>
  <c r="J93" i="16"/>
  <c r="J45" i="16"/>
  <c r="J109" i="14"/>
  <c r="J85" i="14"/>
  <c r="J61" i="14"/>
  <c r="J53" i="14"/>
  <c r="J84" i="14"/>
  <c r="J60" i="14"/>
  <c r="J36" i="14"/>
  <c r="J89" i="16"/>
  <c r="J41" i="16"/>
  <c r="J107" i="14"/>
  <c r="J83" i="14"/>
  <c r="J59" i="14"/>
  <c r="J49" i="14"/>
  <c r="J55" i="14"/>
  <c r="J151" i="16"/>
  <c r="J60" i="16"/>
  <c r="J36" i="16"/>
  <c r="J87" i="16"/>
  <c r="J39" i="16"/>
  <c r="J102" i="14"/>
  <c r="J47" i="14"/>
  <c r="J33" i="14"/>
  <c r="J218" i="14"/>
  <c r="J97" i="14"/>
  <c r="J43" i="14"/>
  <c r="J69" i="14"/>
  <c r="J148" i="14"/>
  <c r="J211" i="14"/>
  <c r="J187" i="14"/>
  <c r="J163" i="14"/>
  <c r="J174" i="16"/>
  <c r="J150" i="16"/>
  <c r="J126" i="16"/>
  <c r="J192" i="16"/>
  <c r="J194" i="14"/>
  <c r="J170" i="14"/>
  <c r="J199" i="16"/>
  <c r="J157" i="16"/>
  <c r="J133" i="16"/>
  <c r="J131" i="14"/>
  <c r="J188" i="16"/>
  <c r="J212" i="16"/>
  <c r="J189" i="16"/>
  <c r="J104" i="16"/>
  <c r="J90" i="16"/>
  <c r="J66" i="16"/>
  <c r="J42" i="16"/>
  <c r="J99" i="16"/>
  <c r="J51" i="16"/>
  <c r="J108" i="14"/>
  <c r="J30" i="14"/>
  <c r="J101" i="14"/>
  <c r="J51" i="14"/>
  <c r="J111" i="16"/>
  <c r="J75" i="14"/>
  <c r="J140" i="14"/>
  <c r="J209" i="14"/>
  <c r="J185" i="14"/>
  <c r="J161" i="14"/>
  <c r="J172" i="16"/>
  <c r="J148" i="16"/>
  <c r="J124" i="16"/>
  <c r="J216" i="14"/>
  <c r="J192" i="14"/>
  <c r="J168" i="14"/>
  <c r="J191" i="16"/>
  <c r="J155" i="16"/>
  <c r="J131" i="16"/>
  <c r="J128" i="14"/>
  <c r="J185" i="16"/>
  <c r="J209" i="16"/>
  <c r="J186" i="16"/>
  <c r="J102" i="16"/>
  <c r="J88" i="16"/>
  <c r="J64" i="16"/>
  <c r="J40" i="16"/>
  <c r="J95" i="16"/>
  <c r="J47" i="16"/>
  <c r="J106" i="14"/>
  <c r="J82" i="14"/>
  <c r="J58" i="14"/>
  <c r="J34" i="14"/>
  <c r="J85" i="16"/>
  <c r="J37" i="16"/>
  <c r="J105" i="14"/>
  <c r="J81" i="14"/>
  <c r="J57" i="14"/>
  <c r="J45" i="14"/>
  <c r="J79" i="14"/>
  <c r="J41" i="14"/>
  <c r="J127" i="16"/>
  <c r="J160" i="14"/>
  <c r="J177" i="16"/>
  <c r="J76" i="14"/>
  <c r="J132" i="14"/>
  <c r="J207" i="14"/>
  <c r="J183" i="14"/>
  <c r="J153" i="14"/>
  <c r="J170" i="16"/>
  <c r="J146" i="16"/>
  <c r="J122" i="16"/>
  <c r="J214" i="14"/>
  <c r="J190" i="14"/>
  <c r="J166" i="14"/>
  <c r="J183" i="16"/>
  <c r="J153" i="16"/>
  <c r="J129" i="16"/>
  <c r="J210" i="16"/>
  <c r="J176" i="16"/>
  <c r="J196" i="16"/>
  <c r="J180" i="16"/>
  <c r="J119" i="16"/>
  <c r="J86" i="16"/>
  <c r="J62" i="16"/>
  <c r="J38" i="16"/>
  <c r="J91" i="16"/>
  <c r="J43" i="16"/>
  <c r="J104" i="14"/>
  <c r="J80" i="14"/>
  <c r="J56" i="14"/>
  <c r="J32" i="14"/>
  <c r="J81" i="16"/>
  <c r="J33" i="16"/>
  <c r="J103" i="14"/>
  <c r="J193" i="16"/>
  <c r="J54" i="14"/>
  <c r="J82" i="16"/>
  <c r="J34" i="16"/>
  <c r="J83" i="16"/>
  <c r="J35" i="16"/>
  <c r="J100" i="14"/>
  <c r="J52" i="14"/>
  <c r="J28" i="14"/>
  <c r="J73" i="16"/>
  <c r="J99" i="14"/>
  <c r="J93" i="14"/>
  <c r="J124" i="14"/>
  <c r="J205" i="14"/>
  <c r="J181" i="14"/>
  <c r="J145" i="14"/>
  <c r="J168" i="16"/>
  <c r="J144" i="16"/>
  <c r="J120" i="16"/>
  <c r="J212" i="14"/>
  <c r="J188" i="14"/>
  <c r="J164" i="14"/>
  <c r="J175" i="16"/>
  <c r="J78" i="14"/>
  <c r="J214" i="16"/>
  <c r="J203" i="14"/>
  <c r="J179" i="14"/>
  <c r="J137" i="14"/>
  <c r="J166" i="16"/>
  <c r="J142" i="16"/>
  <c r="J158" i="14"/>
  <c r="J210" i="14"/>
  <c r="J186" i="14"/>
  <c r="J162" i="14"/>
  <c r="J173" i="16"/>
  <c r="J149" i="16"/>
  <c r="J125" i="16"/>
  <c r="J154" i="14"/>
  <c r="J197" i="16"/>
  <c r="J155" i="14"/>
  <c r="J495" i="17"/>
  <c r="J206" i="16"/>
  <c r="J201" i="14"/>
  <c r="J177" i="14"/>
  <c r="J129" i="14"/>
  <c r="J164" i="16"/>
  <c r="J140" i="16"/>
  <c r="J150" i="14"/>
  <c r="J208" i="14"/>
  <c r="J184" i="14"/>
  <c r="J157" i="14"/>
  <c r="J171" i="16"/>
  <c r="J147" i="16"/>
  <c r="J123" i="16"/>
  <c r="J151" i="14"/>
  <c r="J194" i="16"/>
  <c r="J152" i="14"/>
  <c r="J118" i="16"/>
  <c r="J107" i="16"/>
  <c r="J80" i="16"/>
  <c r="J56" i="16"/>
  <c r="J32" i="16"/>
  <c r="J79" i="16"/>
  <c r="J31" i="16"/>
  <c r="J98" i="14"/>
  <c r="J74" i="14"/>
  <c r="J50" i="14"/>
  <c r="J26" i="14"/>
  <c r="J69" i="16"/>
  <c r="J198" i="16"/>
  <c r="J199" i="14"/>
  <c r="J175" i="14"/>
  <c r="J121" i="14"/>
  <c r="J162" i="16"/>
  <c r="J138" i="16"/>
  <c r="J142" i="14"/>
  <c r="J206" i="14"/>
  <c r="J182" i="14"/>
  <c r="J149" i="14"/>
  <c r="J169" i="16"/>
  <c r="J145" i="16"/>
  <c r="J121" i="16"/>
  <c r="J138" i="14"/>
  <c r="J184" i="16"/>
  <c r="J139" i="14"/>
  <c r="J116" i="16"/>
  <c r="J103" i="16"/>
  <c r="J78" i="16"/>
  <c r="J54" i="16"/>
  <c r="J30" i="16"/>
  <c r="J75" i="16"/>
  <c r="J27" i="16"/>
  <c r="J96" i="14"/>
  <c r="J72" i="14"/>
  <c r="J48" i="14"/>
  <c r="J24" i="14"/>
  <c r="J65" i="16"/>
  <c r="J119" i="14"/>
  <c r="J95" i="14"/>
  <c r="J71" i="14"/>
  <c r="J39" i="14"/>
  <c r="J25" i="14"/>
  <c r="J94" i="14"/>
  <c r="J70" i="14"/>
  <c r="J46" i="14"/>
  <c r="J117" i="16"/>
  <c r="J190" i="16"/>
  <c r="J197" i="14"/>
  <c r="J173" i="14"/>
  <c r="J211" i="16"/>
  <c r="J160" i="16"/>
  <c r="J136" i="16"/>
  <c r="J134" i="14"/>
  <c r="J204" i="14"/>
  <c r="J180" i="14"/>
  <c r="J141" i="14"/>
  <c r="J167" i="16"/>
  <c r="J143" i="16"/>
  <c r="J135" i="14"/>
  <c r="J159" i="14"/>
  <c r="J136" i="14"/>
  <c r="J114" i="16"/>
  <c r="J100" i="16"/>
  <c r="J76" i="16"/>
  <c r="J52" i="16"/>
  <c r="J28" i="16"/>
  <c r="J71" i="16"/>
  <c r="J118" i="14"/>
  <c r="J61" i="16"/>
  <c r="J117" i="14"/>
  <c r="G26" i="25" l="1"/>
  <c r="G24" i="25"/>
  <c r="H22" i="20"/>
  <c r="J21" i="20"/>
  <c r="K21" i="20"/>
  <c r="J486" i="17" l="1"/>
  <c r="G25" i="25"/>
  <c r="J487" i="17" l="1"/>
  <c r="J488" i="17" l="1"/>
  <c r="J489" i="17" l="1"/>
  <c r="J490" i="17" l="1"/>
  <c r="J492" i="17" l="1"/>
  <c r="J491" i="17"/>
  <c r="P36" i="17" l="1"/>
  <c r="P99" i="17" l="1"/>
  <c r="P267" i="17" l="1"/>
  <c r="P215" i="17"/>
  <c r="P161" i="17"/>
  <c r="O22" i="16" l="1"/>
  <c r="P22" i="16" s="1"/>
  <c r="O23" i="16"/>
  <c r="P23" i="16" s="1"/>
  <c r="L66" i="20" l="1"/>
  <c r="M66" i="20" s="1"/>
  <c r="L65" i="20"/>
  <c r="M65" i="20" s="1"/>
  <c r="O24" i="16"/>
  <c r="P24" i="16" s="1"/>
  <c r="O25" i="16" l="1"/>
  <c r="P25" i="16" s="1"/>
  <c r="L67" i="20" l="1"/>
  <c r="M67" i="20" s="1"/>
  <c r="M29" i="20" s="1"/>
  <c r="J20" i="20" s="1"/>
  <c r="J22" i="20" s="1"/>
  <c r="P424" i="17" l="1"/>
  <c r="P332" i="17"/>
  <c r="P393" i="17"/>
  <c r="P422" i="17"/>
  <c r="P368" i="17"/>
  <c r="P350" i="17"/>
  <c r="N74" i="20" l="1"/>
  <c r="O74" i="20" s="1"/>
  <c r="P443" i="17"/>
  <c r="P487" i="17"/>
  <c r="P435" i="17"/>
  <c r="P490" i="17"/>
  <c r="P475" i="17"/>
  <c r="P483" i="17"/>
  <c r="P471" i="17"/>
  <c r="P431" i="17"/>
  <c r="P427" i="17"/>
  <c r="P455" i="17"/>
  <c r="P459" i="17"/>
  <c r="P447" i="17"/>
  <c r="P467" i="17"/>
  <c r="P419" i="17"/>
  <c r="P451" i="17"/>
  <c r="P463" i="17"/>
  <c r="P479" i="17"/>
  <c r="P439" i="17"/>
  <c r="P394" i="17" l="1"/>
  <c r="P489" i="17"/>
  <c r="P454" i="17"/>
  <c r="P492" i="17"/>
  <c r="P423" i="17"/>
  <c r="P430" i="17"/>
  <c r="P466" i="17"/>
  <c r="P470" i="17"/>
  <c r="P442" i="17"/>
  <c r="P462" i="17"/>
  <c r="P420" i="17"/>
  <c r="N78" i="20" s="1"/>
  <c r="O78" i="20" s="1"/>
  <c r="P474" i="17"/>
  <c r="P450" i="17"/>
  <c r="P486" i="17"/>
  <c r="P446" i="17"/>
  <c r="P458" i="17"/>
  <c r="P369" i="17"/>
  <c r="P434" i="17" l="1"/>
  <c r="P438" i="17"/>
  <c r="N79" i="20"/>
  <c r="O79" i="20" s="1"/>
  <c r="N77" i="20"/>
  <c r="O77" i="20" s="1"/>
  <c r="N76" i="20"/>
  <c r="O76" i="20" s="1"/>
  <c r="P460" i="17"/>
  <c r="P452" i="17"/>
  <c r="P440" i="17"/>
  <c r="P482" i="17"/>
  <c r="P444" i="17"/>
  <c r="P448" i="17"/>
  <c r="P456" i="17"/>
  <c r="P436" i="17"/>
  <c r="P472" i="17"/>
  <c r="P464" i="17"/>
  <c r="P476" i="17"/>
  <c r="P428" i="17"/>
  <c r="P351" i="17"/>
  <c r="P432" i="17"/>
  <c r="P468" i="17"/>
  <c r="P480" i="17"/>
  <c r="P425" i="17"/>
  <c r="P478" i="17"/>
  <c r="N75" i="20" l="1"/>
  <c r="O75" i="20" s="1"/>
  <c r="P488" i="17"/>
  <c r="P491" i="17"/>
  <c r="P484" i="17"/>
  <c r="N97" i="20" l="1"/>
  <c r="O97" i="20" s="1"/>
  <c r="N96" i="20"/>
  <c r="O96" i="20" s="1"/>
  <c r="P437" i="17" l="1"/>
  <c r="N83" i="20" s="1"/>
  <c r="O83" i="20" s="1"/>
  <c r="P441" i="17"/>
  <c r="P429" i="17"/>
  <c r="P477" i="17"/>
  <c r="P426" i="17"/>
  <c r="P485" i="17"/>
  <c r="P433" i="17"/>
  <c r="P465" i="17"/>
  <c r="P453" i="17"/>
  <c r="P457" i="17"/>
  <c r="P461" i="17"/>
  <c r="P449" i="17"/>
  <c r="P473" i="17"/>
  <c r="P445" i="17"/>
  <c r="P481" i="17"/>
  <c r="N94" i="20" l="1"/>
  <c r="O94" i="20" s="1"/>
  <c r="N95" i="20"/>
  <c r="O95" i="20" s="1"/>
  <c r="N92" i="20"/>
  <c r="O92" i="20" s="1"/>
  <c r="N93" i="20"/>
  <c r="O93" i="20" s="1"/>
  <c r="N89" i="20"/>
  <c r="O89" i="20" s="1"/>
  <c r="N90" i="20"/>
  <c r="O90" i="20" s="1"/>
  <c r="N88" i="20"/>
  <c r="O88" i="20" s="1"/>
  <c r="N86" i="20"/>
  <c r="O86" i="20" s="1"/>
  <c r="N87" i="20"/>
  <c r="O87" i="20" s="1"/>
  <c r="N85" i="20"/>
  <c r="O85" i="20" s="1"/>
  <c r="N81" i="20"/>
  <c r="O81" i="20" s="1"/>
  <c r="N84" i="20"/>
  <c r="O84" i="20" s="1"/>
  <c r="N82" i="20"/>
  <c r="O82" i="20" s="1"/>
  <c r="N80" i="20"/>
  <c r="O80" i="20" s="1"/>
  <c r="P469" i="17"/>
  <c r="N91" i="20" l="1"/>
  <c r="O91" i="20" s="1"/>
  <c r="T68" i="20" l="1" a="1"/>
  <c r="T68" i="20" l="1"/>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T36" i="20" l="1"/>
  <c r="U68" i="20"/>
  <c r="U29" i="20" s="1"/>
  <c r="G28" i="25" l="1"/>
  <c r="L20" i="20"/>
  <c r="L22" i="20" s="1"/>
  <c r="P246" i="17" l="1"/>
  <c r="P194" i="17"/>
  <c r="P247" i="17"/>
  <c r="P195" i="17"/>
  <c r="P248" i="17"/>
  <c r="P196" i="17"/>
  <c r="P242" i="17"/>
  <c r="P190" i="17"/>
  <c r="P245" i="17"/>
  <c r="P193" i="17"/>
  <c r="P243" i="17"/>
  <c r="P191" i="17"/>
  <c r="P244" i="17"/>
  <c r="P192" i="17"/>
  <c r="P249" i="17"/>
  <c r="P197" i="17"/>
  <c r="P266" i="17" l="1"/>
  <c r="P214" i="17"/>
  <c r="P262" i="17"/>
  <c r="P210" i="17"/>
  <c r="P250" i="17"/>
  <c r="P198" i="17"/>
  <c r="P251" i="17"/>
  <c r="P199" i="17"/>
  <c r="P253" i="17"/>
  <c r="P201" i="17"/>
  <c r="P263" i="17"/>
  <c r="P211" i="17"/>
  <c r="P255" i="17"/>
  <c r="P203" i="17"/>
  <c r="P254" i="17"/>
  <c r="P202" i="17"/>
  <c r="P256" i="17"/>
  <c r="P204" i="17"/>
  <c r="P258" i="17"/>
  <c r="P206" i="17"/>
  <c r="P264" i="17"/>
  <c r="P212" i="17"/>
  <c r="P252" i="17"/>
  <c r="P200" i="17"/>
  <c r="P265" i="17"/>
  <c r="P213" i="17"/>
  <c r="P259" i="17"/>
  <c r="P207" i="17"/>
  <c r="P257" i="17"/>
  <c r="P205" i="17"/>
  <c r="P260" i="17" l="1"/>
  <c r="P208" i="17"/>
  <c r="P261" i="17"/>
  <c r="P209" i="17"/>
  <c r="P241" i="17" l="1"/>
  <c r="P189" i="17"/>
  <c r="P237" i="17"/>
  <c r="P185" i="17"/>
  <c r="P239" i="17"/>
  <c r="P187" i="17"/>
  <c r="P240" i="17"/>
  <c r="P188" i="17"/>
  <c r="P238" i="17"/>
  <c r="P186" i="17"/>
  <c r="P236" i="17" l="1"/>
  <c r="P184" i="17"/>
  <c r="P97" i="17" l="1"/>
  <c r="P93" i="17"/>
  <c r="P83" i="17"/>
  <c r="P95" i="17"/>
  <c r="P73" i="17"/>
  <c r="P68" i="17"/>
  <c r="P89" i="17"/>
  <c r="P87" i="17"/>
  <c r="P78" i="17"/>
  <c r="P75" i="17"/>
  <c r="P77" i="17"/>
  <c r="P88" i="17"/>
  <c r="P82" i="17"/>
  <c r="P90" i="17"/>
  <c r="P74" i="17"/>
  <c r="P72" i="17"/>
  <c r="P91" i="17"/>
  <c r="P96" i="17"/>
  <c r="P69" i="17"/>
  <c r="P76" i="17"/>
  <c r="P79" i="17"/>
  <c r="P81" i="17"/>
  <c r="P84" i="17"/>
  <c r="P86" i="17"/>
  <c r="P85" i="17"/>
  <c r="P92" i="17"/>
  <c r="P80" i="17"/>
  <c r="P94" i="17"/>
  <c r="P71" i="17"/>
  <c r="P70" i="17"/>
  <c r="P141" i="17"/>
  <c r="P133" i="17"/>
  <c r="P137" i="17"/>
  <c r="P159" i="17"/>
  <c r="P144" i="17"/>
  <c r="P156" i="17"/>
  <c r="P132" i="17"/>
  <c r="P150" i="17"/>
  <c r="P151" i="17"/>
  <c r="P152" i="17"/>
  <c r="P148" i="17"/>
  <c r="P142" i="17"/>
  <c r="P147" i="17"/>
  <c r="P158" i="17"/>
  <c r="P145" i="17"/>
  <c r="P155" i="17"/>
  <c r="P138" i="17"/>
  <c r="P135" i="17"/>
  <c r="P146" i="17"/>
  <c r="P136" i="17"/>
  <c r="P157" i="17"/>
  <c r="P134" i="17"/>
  <c r="P139" i="17"/>
  <c r="P154" i="17"/>
  <c r="P149" i="17"/>
  <c r="P131" i="17"/>
  <c r="P143" i="17"/>
  <c r="P140" i="17"/>
  <c r="P153" i="17"/>
  <c r="P129" i="17" l="1"/>
  <c r="P67" i="17"/>
  <c r="P130" i="17" l="1"/>
  <c r="P216" i="17" l="1"/>
  <c r="N71" i="20" l="1"/>
  <c r="O71" i="20" s="1"/>
  <c r="P268" i="17"/>
  <c r="P162" i="17"/>
  <c r="P37" i="17"/>
  <c r="N72" i="20" l="1"/>
  <c r="O72" i="20" s="1"/>
  <c r="N68" i="20"/>
  <c r="O68" i="20" s="1"/>
  <c r="P100" i="17"/>
  <c r="N70" i="20"/>
  <c r="O70" i="20" s="1"/>
  <c r="N69" i="20" l="1"/>
  <c r="O69" i="20" s="1"/>
  <c r="O29" i="20" s="1"/>
  <c r="K20" i="20" s="1"/>
  <c r="G23" i="25" l="1"/>
  <c r="K22" i="20"/>
  <c r="C22" i="20" s="1"/>
  <c r="G21" i="25" s="1"/>
  <c r="J8" i="25" s="1"/>
  <c r="J10" i="25" s="1"/>
  <c r="J12"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<sst xmlns="http://schemas.openxmlformats.org/spreadsheetml/2006/main" count="1076" uniqueCount="743">
  <si>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</si>
  <si>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</si>
  <si>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</si>
  <si>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</si>
  <si>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</si>
  <si>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</si>
  <si>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</si>
  <si>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</si>
  <si>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</si>
  <si>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</si>
  <si>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</si>
  <si>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</si>
  <si>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</si>
  <si>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</si>
  <si>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</si>
  <si>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</si>
  <si>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</si>
  <si>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</si>
  <si>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</si>
  <si>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</si>
  <si>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</si>
  <si>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</si>
  <si>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</si>
  <si>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</si>
  <si>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</si>
  <si>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</si>
  <si>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</si>
  <si>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</si>
  <si>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</si>
  <si>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</si>
  <si>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</si>
  <si>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</si>
  <si>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</si>
  <si>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</si>
  <si>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</si>
  <si>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</si>
  <si>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</si>
  <si>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</si>
  <si>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</si>
  <si>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</si>
  <si>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</si>
  <si>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</si>
  <si>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</si>
  <si>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</si>
  <si>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</si>
  <si>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</si>
  <si>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</si>
  <si>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</si>
  <si>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</si>
  <si>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</si>
  <si>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</si>
  <si>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</si>
  <si>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</si>
  <si>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</si>
  <si>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</si>
  <si>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</si>
  <si>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</si>
  <si>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</si>
  <si>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</si>
  <si>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Future efficiency adjustment to the maximum price</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</si>
  <si>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</si>
  <si>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</si>
  <si>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</si>
  <si>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</si>
  <si>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</si>
  <si>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</si>
  <si>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</si>
  <si>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</si>
  <si>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</si>
  <si>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</si>
  <si>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</si>
  <si>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</si>
  <si>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</si>
  <si>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</si>
  <si>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</si>
  <si>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</si>
  <si>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</si>
  <si>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</si>
  <si>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</si>
  <si>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</si>
  <si>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</si>
  <si>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</si>
  <si>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</si>
  <si>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</si>
  <si>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</si>
  <si>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</si>
  <si>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</si>
  <si>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</si>
  <si>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</si>
  <si>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</si>
  <si>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</si>
  <si>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</si>
  <si>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</si>
  <si>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</si>
  <si>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</si>
  <si>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</si>
  <si>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</si>
  <si>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</si>
  <si>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</si>
  <si>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</si>
  <si>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</si>
  <si>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</si>
  <si>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</si>
  <si>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</si>
  <si>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</si>
  <si>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</si>
  <si>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</si>
  <si>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</si>
  <si>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</si>
  <si>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</si>
  <si>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</si>
  <si>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</si>
  <si>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</si>
  <si>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</si>
  <si>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</si>
  <si>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</si>
  <si>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</si>
  <si>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</si>
  <si>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</si>
  <si>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</si>
  <si>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</si>
  <si>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</si>
  <si>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</si>
  <si>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</si>
  <si>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</si>
  <si>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</si>
  <si>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Central Coast Council</t>
  </si>
  <si>
    <t>Agency name</t>
  </si>
  <si>
    <t>Pre-1996 discount rate</t>
  </si>
  <si>
    <t>DSP name</t>
  </si>
  <si>
    <t>Scheme Name</t>
  </si>
  <si>
    <t>Hunter Water Corporation</t>
  </si>
  <si>
    <t>System name (allows cross checking of headworks costs)</t>
  </si>
  <si>
    <t>System Name</t>
  </si>
  <si>
    <t>Sydney Water Corporation</t>
  </si>
  <si>
    <t xml:space="preserve">Service this DSP relates to </t>
  </si>
  <si>
    <t>Water</t>
  </si>
  <si>
    <t>Timeframes</t>
  </si>
  <si>
    <t>Relevant financial year</t>
  </si>
  <si>
    <t>Sewerage</t>
  </si>
  <si>
    <t>Stormwater</t>
  </si>
  <si>
    <t>Financial year of registration for the DSP</t>
  </si>
  <si>
    <t>2024-25</t>
  </si>
  <si>
    <t>Final date where assets can be commissioned</t>
  </si>
  <si>
    <t>2018-19</t>
  </si>
  <si>
    <t>2019-20</t>
  </si>
  <si>
    <t>Date range for pre 1996 assets</t>
  </si>
  <si>
    <t>2020-21</t>
  </si>
  <si>
    <t>2021-22</t>
  </si>
  <si>
    <t>First day</t>
  </si>
  <si>
    <t>2022-23</t>
  </si>
  <si>
    <t>Last day</t>
  </si>
  <si>
    <t>2023-24</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</si>
  <si>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</si>
  <si>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</si>
  <si>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</si>
  <si>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</si>
  <si>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</si>
  <si>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</si>
  <si>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</si>
  <si>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</si>
  <si>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</si>
  <si>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</si>
  <si>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</si>
  <si>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</si>
  <si>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</si>
  <si>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</si>
  <si>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</si>
  <si>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</si>
  <si>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</si>
  <si>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</si>
  <si>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</si>
  <si>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</si>
  <si>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</si>
  <si>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</si>
  <si>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</si>
  <si>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</si>
  <si>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</si>
  <si>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End date</t>
  </si>
  <si>
    <t>Register of pre-1996 assets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</si>
  <si>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</si>
  <si>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</si>
  <si>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</si>
  <si>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</si>
  <si>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</si>
  <si>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</si>
  <si>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</si>
  <si>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</si>
  <si>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</si>
  <si>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</si>
  <si>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</si>
  <si>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</si>
  <si>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Total</t>
  </si>
  <si>
    <t>POST-1996 COMMISSIONED ASSETS WITH A NEXUS TO THE SERVICE FOR WHICH THE MAXIMUM PRICE IS BEING CALCULATED</t>
  </si>
  <si>
    <t>Register of post-1996 commissioned assets</t>
  </si>
  <si>
    <t>Financial year of commissioning</t>
  </si>
  <si>
    <t>Sunk Project Costs 2022</t>
  </si>
  <si>
    <t>Mamre Rd</t>
  </si>
  <si>
    <t>Sunk Project Costs 2023</t>
  </si>
  <si>
    <t>Sunk Project Costs 2024</t>
  </si>
  <si>
    <t>Commissioned Recycled Water Assets</t>
  </si>
  <si>
    <t>EQUIVALENT TENEMENTS (ETs) SINCE 1 JULY 1996 RELATING TO THE DSP UNDER CONSIDERATION</t>
  </si>
  <si>
    <t>ET consumption assumption (kL/year)</t>
  </si>
  <si>
    <t>Single dwelling</t>
  </si>
  <si>
    <t>Multi dwelling</t>
  </si>
  <si>
    <t>Schools</t>
  </si>
  <si>
    <t>Commercial</t>
  </si>
  <si>
    <t>Light industrial</t>
  </si>
  <si>
    <t>Non-res 4</t>
  </si>
  <si>
    <t>Non-res 5</t>
  </si>
  <si>
    <t>Non-res 6</t>
  </si>
  <si>
    <t>Non-res 7</t>
  </si>
  <si>
    <t>Non-res 8</t>
  </si>
  <si>
    <t>Consumption assumption</t>
  </si>
  <si>
    <t>kL/year/ property</t>
  </si>
  <si>
    <t>kL/hectare/year</t>
  </si>
  <si>
    <t>kL/property/year</t>
  </si>
  <si>
    <t>Total new ETs in DSP area</t>
  </si>
  <si>
    <t>Annual take-up of single residential dwellings</t>
  </si>
  <si>
    <t>Annual take-up of multi-dwelling residential units</t>
  </si>
  <si>
    <t>Do not delete section below - this is where the user can enter alternative consumption assumption options for non-residential customer groups.</t>
  </si>
  <si>
    <t>properties</t>
  </si>
  <si>
    <t>hectares</t>
  </si>
  <si>
    <t>The plural of the units will only affect headings.</t>
  </si>
  <si>
    <t>POST-1996 UNCOMMISSIONED ASSETS WITH A NEXUS TO THE SERVICE FOR WHICH THE MAXIMUM PRICE IS BEING CALCULATED</t>
  </si>
  <si>
    <t>F</t>
  </si>
  <si>
    <t>Register of uncommissioned assets</t>
  </si>
  <si>
    <t>Gravity Main DN375 - 1m deep 2025</t>
  </si>
  <si>
    <t>Gravity Main DN375 - 2m deep 2025</t>
  </si>
  <si>
    <t>Gravity Main DN375 - 3m deep 2025</t>
  </si>
  <si>
    <t>Gravity Main  DN375 - 4m deep 2025</t>
  </si>
  <si>
    <t>Gravity Main  DN375 - 5m deep 2025</t>
  </si>
  <si>
    <t>Gravity Main  DN375 - 6m deep 2025</t>
  </si>
  <si>
    <t>Stormwater Pit - Pre-Cast - 1m deep 2025</t>
  </si>
  <si>
    <t>Stormwater Pit - Pre-Cast - 2m deep 2025</t>
  </si>
  <si>
    <t>Stormwater Pit - Pre-Cast - 3m deep 2025</t>
  </si>
  <si>
    <t>Stormwater Pit - Pre-Cast - 4m deep 2025</t>
  </si>
  <si>
    <t>Stormwater Pit - Pre-Cast - 5m deep 2025</t>
  </si>
  <si>
    <t>Stormwater Pit - Pre-Cast - 6m deep 2025</t>
  </si>
  <si>
    <t>Outlet channels - 10m wide  2025</t>
  </si>
  <si>
    <t>Outlet channels - 20m wide  2025</t>
  </si>
  <si>
    <t>Land Purchased</t>
  </si>
  <si>
    <t>Other Capex</t>
  </si>
  <si>
    <t>Gravity Main DN375 - 1m deep 2026</t>
  </si>
  <si>
    <t>Gravity Main DN375 - 2m deep 2026</t>
  </si>
  <si>
    <t>Gravity Main DN375 - 3m deep 2026</t>
  </si>
  <si>
    <t>Gravity Main  DN375 - 4m deep 2026</t>
  </si>
  <si>
    <t>Gravity Main  DN375 - 5m deep 2026</t>
  </si>
  <si>
    <t>Gravity Main  DN375 - 6m deep 2026</t>
  </si>
  <si>
    <t>Stormwater Pit - Pre-Cast - 1m deep 2026</t>
  </si>
  <si>
    <t>Stormwater Pit - Pre-Cast - 2m deep 2026</t>
  </si>
  <si>
    <t>Stormwater Pit - Pre-Cast - 3m deep 2026</t>
  </si>
  <si>
    <t>Stormwater Pit - Pre-Cast - 4m deep 2026</t>
  </si>
  <si>
    <t>Stormwater Pit - Pre-Cast - 5m deep 2026</t>
  </si>
  <si>
    <t>Stormwater Pit - Pre-Cast - 6m deep 2026</t>
  </si>
  <si>
    <t>Outlet channels - 10m wide  2026</t>
  </si>
  <si>
    <t>Outlet channels - 20m wide  2026</t>
  </si>
  <si>
    <t>Outlet channels - 25m wide 2026</t>
  </si>
  <si>
    <t>Outlet channels - 30m wide  2026</t>
  </si>
  <si>
    <t>Outlet channels - 40m wide  2026</t>
  </si>
  <si>
    <t>Basin 2 2026</t>
  </si>
  <si>
    <t>Basin 3 2026</t>
  </si>
  <si>
    <t>Basin 4 2026</t>
  </si>
  <si>
    <t>Basin 6 2026</t>
  </si>
  <si>
    <t>Basin 7a 2026</t>
  </si>
  <si>
    <t>Basin 7b 2026</t>
  </si>
  <si>
    <t>Basin 26 2026</t>
  </si>
  <si>
    <t>Basin 28 2026</t>
  </si>
  <si>
    <t>Basin 29 2026</t>
  </si>
  <si>
    <t>800,000m³ 2026</t>
  </si>
  <si>
    <t>Water quality monitoring 2026</t>
  </si>
  <si>
    <t>24 month maintenance 2026</t>
  </si>
  <si>
    <t>RW Transfer Main within AWRC  2026</t>
  </si>
  <si>
    <t>RW Reservoir within AWRC 2026</t>
  </si>
  <si>
    <t>RW Pump Station (to Balance Tank) at USC AWTP  2026</t>
  </si>
  <si>
    <t>RW Transfer Main from AWRC 2026</t>
  </si>
  <si>
    <t>Critical control points 2026</t>
  </si>
  <si>
    <t>IICATS control units and logics 2026</t>
  </si>
  <si>
    <t>SW Transfer Pump Station - South West  2026</t>
  </si>
  <si>
    <t>SW Rising main - South West  2026</t>
  </si>
  <si>
    <t>SW Transfer Pump Station - North West  2026</t>
  </si>
  <si>
    <t>SW Rising main - North West (DN250) 2026</t>
  </si>
  <si>
    <t>SW Transfer Pump Station - North  2026</t>
  </si>
  <si>
    <t>SW Rising main - North (DN150) 2026</t>
  </si>
  <si>
    <t>SW Transfer Pump Station - East  2026</t>
  </si>
  <si>
    <t>SW Rising main - East (DN200) 2026</t>
  </si>
  <si>
    <t>Drum Screens incl Residuals Handling &amp; Outloading 2026</t>
  </si>
  <si>
    <t>Intermediate PS to Microstrainer 2026</t>
  </si>
  <si>
    <t>Microstrainer  2026</t>
  </si>
  <si>
    <t>Balance Tank 2026</t>
  </si>
  <si>
    <t>Intermediate Pump to UV &amp; CCT 2026</t>
  </si>
  <si>
    <t>UV reactor 2026</t>
  </si>
  <si>
    <t>Chlorine dosing unit 2026</t>
  </si>
  <si>
    <t>Chlorine Contact Tank (CCT)  2026</t>
  </si>
  <si>
    <t>Intermediate Pump to Reservoir 2026</t>
  </si>
  <si>
    <t>Reservoir  2026</t>
  </si>
  <si>
    <t>Critical control points - Distribution 2026</t>
  </si>
  <si>
    <t>IICATS control units and logics - Distribution 2026</t>
  </si>
  <si>
    <t>RW Outlet Main from Reservoir (DN450) 2026</t>
  </si>
  <si>
    <t>RW Distribution Mains &gt; DN150 + Mamre Road (delivered by SW) 2026</t>
  </si>
  <si>
    <t>RW Booster Pump Stations  2026</t>
  </si>
  <si>
    <t>RW Pressure Control Valve 2026</t>
  </si>
  <si>
    <t>Flow Control at Microsoft Data Centre 2026</t>
  </si>
  <si>
    <t>Land Purchase</t>
  </si>
  <si>
    <t>Gravity Main DN375 - 1m deep 2027</t>
  </si>
  <si>
    <t>Gravity Main DN375 - 2m deep 2027</t>
  </si>
  <si>
    <t>Gravity Main DN375 - 3m deep 2027</t>
  </si>
  <si>
    <t>Gravity Main  DN375 - 4m deep 2027</t>
  </si>
  <si>
    <t>Gravity Main  DN375 - 5m deep 2027</t>
  </si>
  <si>
    <t>Gravity Main  DN375 - 6m deep 2027</t>
  </si>
  <si>
    <t>Stormwater Pit - Pre-Cast - 1m deep 2027</t>
  </si>
  <si>
    <t>Stormwater Pit - Pre-Cast - 2m deep 2027</t>
  </si>
  <si>
    <t>Stormwater Pit - Pre-Cast - 3m deep 2027</t>
  </si>
  <si>
    <t>Stormwater Pit - Pre-Cast - 4m deep 2027</t>
  </si>
  <si>
    <t>Stormwater Pit - Pre-Cast - 5m deep 2027</t>
  </si>
  <si>
    <t>Stormwater Pit - Pre-Cast - 6m deep 2027</t>
  </si>
  <si>
    <t>Outlet channels - 10m wide  2027</t>
  </si>
  <si>
    <t>Outlet channels - 20m wide  2027</t>
  </si>
  <si>
    <t>Outlet channels - 25m wide 2027</t>
  </si>
  <si>
    <t>Outlet channels - 30m wide  2027</t>
  </si>
  <si>
    <t>Outlet channels - 40m wide  2027</t>
  </si>
  <si>
    <t>Basin 9 2027</t>
  </si>
  <si>
    <t>Basin 12 2027</t>
  </si>
  <si>
    <t>Basin 13 2027</t>
  </si>
  <si>
    <t>Basin 14 2027</t>
  </si>
  <si>
    <t>Basin 16  2027</t>
  </si>
  <si>
    <t>Basin 17 2027</t>
  </si>
  <si>
    <t>Basin 19 2027</t>
  </si>
  <si>
    <t>Basin 25 2027</t>
  </si>
  <si>
    <t>800,000m³ 2027</t>
  </si>
  <si>
    <t>Water quality monitoring 2027</t>
  </si>
  <si>
    <t>24 month maintenance 2027</t>
  </si>
  <si>
    <t>RW Transfer Main within AWRC  2027</t>
  </si>
  <si>
    <t>RW Reservoir within AWRC 2027</t>
  </si>
  <si>
    <t>RW Pump Station (to Balance Tank) at USC AWTP  2027</t>
  </si>
  <si>
    <t>RW Transfer Main from AWRC 2027</t>
  </si>
  <si>
    <t>Critical control points 2027</t>
  </si>
  <si>
    <t>IICATS control units and logics 2027</t>
  </si>
  <si>
    <t>SW Transfer Pump Station - South West  2027</t>
  </si>
  <si>
    <t>SW Rising main - South West  2027</t>
  </si>
  <si>
    <t>SW Transfer Pump Station - North West  2027</t>
  </si>
  <si>
    <t>SW Rising main - North West (DN250) 2027</t>
  </si>
  <si>
    <t>SW Transfer Pump Station - North  2027</t>
  </si>
  <si>
    <t>SW Rising main - North (DN150) 2027</t>
  </si>
  <si>
    <t>SW Transfer Pump Station - East  2027</t>
  </si>
  <si>
    <t>SW Rising main - East (DN200) 2027</t>
  </si>
  <si>
    <t>Drum Screens incl Residuals Handling &amp; Outloading 2027</t>
  </si>
  <si>
    <t>Intermediate PS to Microstrainer 2027</t>
  </si>
  <si>
    <t>Microstrainer  2027</t>
  </si>
  <si>
    <t>Balance Tank 2027</t>
  </si>
  <si>
    <t>Intermediate Pump to UV &amp; CCT 2027</t>
  </si>
  <si>
    <t>UV reactor 2027</t>
  </si>
  <si>
    <t>Chlorine dosing unit 2027</t>
  </si>
  <si>
    <t>Chlorine Contact Tank (CCT)  2027</t>
  </si>
  <si>
    <t>Intermediate Pump to Reservoir 2027</t>
  </si>
  <si>
    <t>Reservoir  2027</t>
  </si>
  <si>
    <t>Critical control points - Distribution 2027</t>
  </si>
  <si>
    <t>IICATS control units and logics - Distribution 2027</t>
  </si>
  <si>
    <t>RW Outlet Main from Reservoir (DN450) 2027</t>
  </si>
  <si>
    <t>RW Distribution Mains &gt; DN150 + Mamre Road (delivered by SW) 2027</t>
  </si>
  <si>
    <t>RW Booster Pump Stations  2027</t>
  </si>
  <si>
    <t>RW Pressure Control Valve 2027</t>
  </si>
  <si>
    <t>Flow Control at Microsoft Data Centre 2027</t>
  </si>
  <si>
    <t>Land Purchase 2027</t>
  </si>
  <si>
    <t>Gravity Main DN375 - 1m deep 2028</t>
  </si>
  <si>
    <t>Gravity Main DN375 - 2m deep 2028</t>
  </si>
  <si>
    <t>Gravity Main DN375 - 3m deep 2028</t>
  </si>
  <si>
    <t>Gravity Main  DN375 - 4m deep 2028</t>
  </si>
  <si>
    <t>Gravity Main  DN375 - 5m deep 2028</t>
  </si>
  <si>
    <t>Gravity Main  DN375 - 6m deep 2028</t>
  </si>
  <si>
    <t>Stormwater Pit - Pre-Cast - 1m deep 2028</t>
  </si>
  <si>
    <t>Stormwater Pit - Pre-Cast - 2m deep 2028</t>
  </si>
  <si>
    <t>Stormwater Pit - Pre-Cast - 3m deep 2028</t>
  </si>
  <si>
    <t>Stormwater Pit - Pre-Cast - 4m deep 2028</t>
  </si>
  <si>
    <t>Stormwater Pit - Pre-Cast - 5m deep 2028</t>
  </si>
  <si>
    <t>Stormwater Pit - Pre-Cast - 6m deep 2028</t>
  </si>
  <si>
    <t>Outlet channels - 10m wide  2028</t>
  </si>
  <si>
    <t>Outlet channels - 20m wide  2028</t>
  </si>
  <si>
    <t>Outlet channels - 25m wide 2028</t>
  </si>
  <si>
    <t>Outlet channels - 30m wide  2028</t>
  </si>
  <si>
    <t>Basin 1 (uncertain) 2028</t>
  </si>
  <si>
    <t>Basin 18 2028</t>
  </si>
  <si>
    <t>800,000m³ 2028</t>
  </si>
  <si>
    <t>Water quality monitoring 2028</t>
  </si>
  <si>
    <t>24 month maintenance 2028</t>
  </si>
  <si>
    <t>RW Transfer Main within AWRC  2028</t>
  </si>
  <si>
    <t>RW Reservoir within AWRC 2028</t>
  </si>
  <si>
    <t>RW Pump Station (to Balance Tank) at USC AWTP  2028</t>
  </si>
  <si>
    <t>RW Transfer Main from AWRC 2028</t>
  </si>
  <si>
    <t>Critical control points 2028</t>
  </si>
  <si>
    <t>IICATS control units and logics 2028</t>
  </si>
  <si>
    <t>SW Transfer Pump Station - South West  2028</t>
  </si>
  <si>
    <t>SW Rising main - South West  2028</t>
  </si>
  <si>
    <t>SW Transfer Pump Station - North West  2028</t>
  </si>
  <si>
    <t>SW Rising main - North West (DN250) 2028</t>
  </si>
  <si>
    <t>SW Transfer Pump Station - North  2028</t>
  </si>
  <si>
    <t>SW Rising main - North (DN150) 2028</t>
  </si>
  <si>
    <t>SW Transfer Pump Station - East  2028</t>
  </si>
  <si>
    <t>SW Rising main - East (DN200) 2028</t>
  </si>
  <si>
    <t>Drum Screens incl Residuals Handling &amp; Outloading 2028</t>
  </si>
  <si>
    <t>Intermediate PS to Microstrainer 2028</t>
  </si>
  <si>
    <t>Microstrainer  2028</t>
  </si>
  <si>
    <t>Balance Tank 2028</t>
  </si>
  <si>
    <t>Intermediate Pump to UV &amp; CCT 2028</t>
  </si>
  <si>
    <t>UV reactor 2028</t>
  </si>
  <si>
    <t>Chlorine dosing unit 2028</t>
  </si>
  <si>
    <t>Chlorine Contact Tank (CCT)  2028</t>
  </si>
  <si>
    <t>Intermediate Pump to Reservoir 2028</t>
  </si>
  <si>
    <t>Reservoir  2028</t>
  </si>
  <si>
    <t>Critical control points - Distribution 2028</t>
  </si>
  <si>
    <t>IICATS control units and logics - Distribution 2028</t>
  </si>
  <si>
    <t>RW Outlet Main from Reservoir (DN450) 2028</t>
  </si>
  <si>
    <t>RW Distribution Mains &gt; DN150 + Mamre Road (delivered by SW) 2028</t>
  </si>
  <si>
    <t>RW Booster Pump Stations  2028</t>
  </si>
  <si>
    <t>RW Pressure Control Valve 2028</t>
  </si>
  <si>
    <t>Flow Control at Microsoft Data Centre 2028</t>
  </si>
  <si>
    <t>Land Purchase 2028</t>
  </si>
  <si>
    <t>Gravity Main DN375 - 1m deep 2029</t>
  </si>
  <si>
    <t>Gravity Main DN375 - 2m deep 2029</t>
  </si>
  <si>
    <t>Gravity Main DN375 - 3m deep 2029</t>
  </si>
  <si>
    <t>Gravity Main  DN375 - 4m deep 2029</t>
  </si>
  <si>
    <t>Gravity Main  DN375 - 5m deep 2029</t>
  </si>
  <si>
    <t>Gravity Main  DN375 - 6m deep 2029</t>
  </si>
  <si>
    <t>Stormwater Pit - Pre-Cast - 1m deep 2029</t>
  </si>
  <si>
    <t>Stormwater Pit - Pre-Cast - 2m deep 2029</t>
  </si>
  <si>
    <t>Stormwater Pit - Pre-Cast - 3m deep 2029</t>
  </si>
  <si>
    <t>Stormwater Pit - Pre-Cast - 4m deep 2029</t>
  </si>
  <si>
    <t>Stormwater Pit - Pre-Cast - 5m deep 2029</t>
  </si>
  <si>
    <t>Stormwater Pit - Pre-Cast - 6m deep 2029</t>
  </si>
  <si>
    <t>Outlet channels - 10m wide  2029</t>
  </si>
  <si>
    <t>Outlet channels - 20m wide  2029</t>
  </si>
  <si>
    <t>Outlet channels - 25m wide 2029</t>
  </si>
  <si>
    <t>Basin 1 (uncertain) 2029</t>
  </si>
  <si>
    <t>800,000m³ 2029</t>
  </si>
  <si>
    <t>Water quality monitoring 2029</t>
  </si>
  <si>
    <t>24 month maintenance 2029</t>
  </si>
  <si>
    <t xml:space="preserve">RW Transfer Main within AWRC </t>
  </si>
  <si>
    <t>RW Reservoir within AWRC</t>
  </si>
  <si>
    <t xml:space="preserve">RW Pump Station (to Balance Tank) at USC AWTP </t>
  </si>
  <si>
    <t>RW Transfer Main from AWRC</t>
  </si>
  <si>
    <t>Critical control points</t>
  </si>
  <si>
    <t>IICATS control units and logics</t>
  </si>
  <si>
    <t xml:space="preserve">SW Transfer Pump Station - South West </t>
  </si>
  <si>
    <t xml:space="preserve">SW Rising main - South West </t>
  </si>
  <si>
    <t xml:space="preserve">SW Transfer Pump Station - North West </t>
  </si>
  <si>
    <t>SW Rising main - North West (DN250)</t>
  </si>
  <si>
    <t xml:space="preserve">SW Transfer Pump Station - North </t>
  </si>
  <si>
    <t>SW Rising main - North (DN150)</t>
  </si>
  <si>
    <t xml:space="preserve">SW Transfer Pump Station - East </t>
  </si>
  <si>
    <t>SW Rising main - East (DN200)</t>
  </si>
  <si>
    <t>Drum Screens incl Residuals Handling &amp; Outloading</t>
  </si>
  <si>
    <t>Intermediate PS to Microstrainer</t>
  </si>
  <si>
    <t xml:space="preserve">Microstrainer </t>
  </si>
  <si>
    <t>Balance Tank</t>
  </si>
  <si>
    <t>Intermediate Pump to UV &amp; CCT</t>
  </si>
  <si>
    <t>UV reactor</t>
  </si>
  <si>
    <t>Chlorine dosing unit</t>
  </si>
  <si>
    <t xml:space="preserve">Chlorine Contact Tank (CCT) </t>
  </si>
  <si>
    <t>Intermediate Pump to Reservoir</t>
  </si>
  <si>
    <t xml:space="preserve">Reservoir </t>
  </si>
  <si>
    <t>Critical control points - Distribution</t>
  </si>
  <si>
    <t>IICATS control units and logics - Distribution</t>
  </si>
  <si>
    <t>RW Outlet Main from Reservoir (DN450)</t>
  </si>
  <si>
    <t>RW Distribution Mains &gt; DN150 + Mamre Road (delivered by SW)</t>
  </si>
  <si>
    <t xml:space="preserve">RW Booster Pump Stations </t>
  </si>
  <si>
    <t>RW Pressure Control Valve</t>
  </si>
  <si>
    <t>Flow Control at Microsoft Data Centre</t>
  </si>
  <si>
    <t>Land Purchase 2029</t>
  </si>
  <si>
    <t>Other Capex 2029</t>
  </si>
  <si>
    <t>Gravity Main DN375 - 1m deep 2030</t>
  </si>
  <si>
    <t>Gravity Main DN375 - 2m deep 2030</t>
  </si>
  <si>
    <t>Gravity Main DN375 - 3m deep 2030</t>
  </si>
  <si>
    <t>Gravity Main  DN375 - 4m deep 2030</t>
  </si>
  <si>
    <t>Gravity Main  DN375 - 5m deep 2030</t>
  </si>
  <si>
    <t>Gravity Main  DN375 - 6m deep 2030</t>
  </si>
  <si>
    <t>Stormwater Pit - Pre-Cast - 1m deep 2030</t>
  </si>
  <si>
    <t>Stormwater Pit - Pre-Cast - 2m deep 2030</t>
  </si>
  <si>
    <t>Stormwater Pit - Pre-Cast - 3m deep 2030</t>
  </si>
  <si>
    <t>Stormwater Pit - Pre-Cast - 4m deep 2030</t>
  </si>
  <si>
    <t>Stormwater Pit - Pre-Cast - 5m deep 2030</t>
  </si>
  <si>
    <t>Stormwater Pit - Pre-Cast - 6m deep 2030</t>
  </si>
  <si>
    <t>Outlet channels - 10m wide  2030</t>
  </si>
  <si>
    <t>Outlet channels - 25m wide 2030</t>
  </si>
  <si>
    <t>Outlet channels - 30m wide  2030</t>
  </si>
  <si>
    <t>RW Transfer Main within AWRC  2030</t>
  </si>
  <si>
    <t>RW Reservoir within AWRC 2030</t>
  </si>
  <si>
    <t>RW Pump Station (to Balance Tank) at USC AWTP  2030</t>
  </si>
  <si>
    <t>RW Transfer Main from AWRC 2030</t>
  </si>
  <si>
    <t>Critical control points 2030</t>
  </si>
  <si>
    <t>IICATS control units and logics 2030</t>
  </si>
  <si>
    <t>SW Transfer Pump Station - South West  2030</t>
  </si>
  <si>
    <t>SW Rising main - South West  2030</t>
  </si>
  <si>
    <t>SW Transfer Pump Station - North West  2030</t>
  </si>
  <si>
    <t>SW Rising main - North West (DN250) 2030</t>
  </si>
  <si>
    <t>SW Transfer Pump Station - North  2030</t>
  </si>
  <si>
    <t>SW Rising main - North (DN150) 2030</t>
  </si>
  <si>
    <t>SW Transfer Pump Station - East  2030</t>
  </si>
  <si>
    <t>SW Rising main - East (DN200) 2030</t>
  </si>
  <si>
    <t>Drum Screens incl Residuals Handling &amp; Outloading 2030</t>
  </si>
  <si>
    <t>Intermediate PS to Microstrainer 2030</t>
  </si>
  <si>
    <t>Microstrainer  2030</t>
  </si>
  <si>
    <t>Balance Tank 2030</t>
  </si>
  <si>
    <t>Intermediate Pump to UV &amp; CCT 2030</t>
  </si>
  <si>
    <t>UV reactor 2030</t>
  </si>
  <si>
    <t>Chlorine dosing unit 2030</t>
  </si>
  <si>
    <t>Chlorine Contact Tank (CCT)  2030</t>
  </si>
  <si>
    <t>Intermediate Pump to Reservoir 2030</t>
  </si>
  <si>
    <t>Reservoir  2030</t>
  </si>
  <si>
    <t>Critical control points - Distribution 2030</t>
  </si>
  <si>
    <t>IICATS control units and logics - Distribution 2030</t>
  </si>
  <si>
    <t>RW Outlet Main from Reservoir (DN450) 2030</t>
  </si>
  <si>
    <t>RW Distribution Mains &gt; DN150 + Mamre Road (delivered by SW) 2030</t>
  </si>
  <si>
    <t>RW Booster Pump Stations  2030</t>
  </si>
  <si>
    <t>RW Pressure Control Valve 2030</t>
  </si>
  <si>
    <t>Flow Control at Microsoft Data Centre 2030</t>
  </si>
  <si>
    <t>Land Purchase 2030</t>
  </si>
  <si>
    <t>Gravity Main DN375 - 1m deep 2031</t>
  </si>
  <si>
    <t>Gravity Main DN375 - 2m deep 2031</t>
  </si>
  <si>
    <t>Gravity Main DN375 - 3m deep 2031</t>
  </si>
  <si>
    <t>Gravity Main  DN375 - 4m deep 2031</t>
  </si>
  <si>
    <t>Gravity Main  DN375 - 5m deep 2031</t>
  </si>
  <si>
    <t>Gravity Main  DN375 - 6m deep 2031</t>
  </si>
  <si>
    <t>Stormwater Pit - Pre-Cast - 1m deep 2031</t>
  </si>
  <si>
    <t>Stormwater Pit - Pre-Cast - 2m deep 2031</t>
  </si>
  <si>
    <t>Stormwater Pit - Pre-Cast - 3m deep 2031</t>
  </si>
  <si>
    <t>Stormwater Pit - Pre-Cast - 4m deep 2031</t>
  </si>
  <si>
    <t>Stormwater Pit - Pre-Cast - 5m deep 2031</t>
  </si>
  <si>
    <t>Stormwater Pit - Pre-Cast - 6m deep 2031</t>
  </si>
  <si>
    <t>Outlet channels - 10m wide  2031</t>
  </si>
  <si>
    <t>Outlet channels - 25m wide 2031</t>
  </si>
  <si>
    <t>Land Purchase - 2031</t>
  </si>
  <si>
    <t>Treatment Assets Renewal - 2031</t>
  </si>
  <si>
    <t>Other Capex - 2031</t>
  </si>
  <si>
    <t>Gravity Main DN375 - 1m deep 2032</t>
  </si>
  <si>
    <t>Gravity Main DN375 - 2m deep 2032</t>
  </si>
  <si>
    <t>Gravity Main DN375 - 3m deep 2032</t>
  </si>
  <si>
    <t>Gravity Main  DN375 - 4m deep 2032</t>
  </si>
  <si>
    <t>Gravity Main  DN375 - 5m deep 2032</t>
  </si>
  <si>
    <t>Gravity Main  DN375 - 6m deep 2032</t>
  </si>
  <si>
    <t>Stormwater Pit - Pre-Cast - 1m deep 2032</t>
  </si>
  <si>
    <t>Stormwater Pit - Pre-Cast - 2m deep 2032</t>
  </si>
  <si>
    <t>Stormwater Pit - Pre-Cast - 3m deep 2032</t>
  </si>
  <si>
    <t>Stormwater Pit - Pre-Cast - 4m deep 2032</t>
  </si>
  <si>
    <t>Stormwater Pit - Pre-Cast - 5m deep 2032</t>
  </si>
  <si>
    <t>Stormwater Pit - Pre-Cast - 6m deep 2032</t>
  </si>
  <si>
    <t>Outlet channels - 30m wide  2032</t>
  </si>
  <si>
    <t>800,000m³ 2032</t>
  </si>
  <si>
    <t>Other Capex - 2032</t>
  </si>
  <si>
    <t>Land Purchase 2032</t>
  </si>
  <si>
    <t>Treatment Assets Renewal - 2032</t>
  </si>
  <si>
    <t>Basin Assets Renewals - 2032</t>
  </si>
  <si>
    <t>Gravity Main DN375 - 1m deep 2033</t>
  </si>
  <si>
    <t>Gravity Main DN375 - 2m deep 2033</t>
  </si>
  <si>
    <t>Gravity Main DN375 - 3m deep 2033</t>
  </si>
  <si>
    <t>Gravity Main  DN375 - 4m deep 2033</t>
  </si>
  <si>
    <t>Gravity Main  DN375 - 5m deep 2033</t>
  </si>
  <si>
    <t>Gravity Main  DN375 - 6m deep 2033</t>
  </si>
  <si>
    <t>Stormwater Pit - Pre-Cast - 1m deep 2033</t>
  </si>
  <si>
    <t>Stormwater Pit - Pre-Cast - 2m deep 2033</t>
  </si>
  <si>
    <t>Stormwater Pit - Pre-Cast - 3m deep 2033</t>
  </si>
  <si>
    <t>Stormwater Pit - Pre-Cast - 4m deep 2033</t>
  </si>
  <si>
    <t>Stormwater Pit - Pre-Cast - 5m deep 2033</t>
  </si>
  <si>
    <t>Stormwater Pit - Pre-Cast - 6m deep 2033</t>
  </si>
  <si>
    <t>Outlet channels - 25m wide 2033</t>
  </si>
  <si>
    <t>Outlet channels - 30m wide  2033</t>
  </si>
  <si>
    <t>800,000m³ 2033</t>
  </si>
  <si>
    <t>Land Purchase- 2033</t>
  </si>
  <si>
    <t>Treatment Renewals - 2033</t>
  </si>
  <si>
    <t>Basin Renewals - 2033</t>
  </si>
  <si>
    <t>Other Capex - 2033</t>
  </si>
  <si>
    <t>Gravity Main DN375 - 1m deep 2034</t>
  </si>
  <si>
    <t>Gravity Main DN375 - 2m deep 2034</t>
  </si>
  <si>
    <t>Gravity Main DN375 - 3m deep 2034</t>
  </si>
  <si>
    <t>Gravity Main  DN375 - 4m deep 2034</t>
  </si>
  <si>
    <t>Gravity Main  DN375 - 5m deep 2034</t>
  </si>
  <si>
    <t>Gravity Main  DN375 - 6m deep 2034</t>
  </si>
  <si>
    <t>Stormwater Pit - Pre-Cast - 1m deep 2034</t>
  </si>
  <si>
    <t>Stormwater Pit - Pre-Cast - 2m deep 2034</t>
  </si>
  <si>
    <t>Stormwater Pit - Pre-Cast - 3m deep 2034</t>
  </si>
  <si>
    <t>Stormwater Pit - Pre-Cast - 4m deep 2034</t>
  </si>
  <si>
    <t>Stormwater Pit - Pre-Cast - 5m deep 2034</t>
  </si>
  <si>
    <t>Stormwater Pit - Pre-Cast - 6m deep 2034</t>
  </si>
  <si>
    <t>Outlet channels - 25m wide 2034</t>
  </si>
  <si>
    <t>Outlet channels - 30m wide  2034</t>
  </si>
  <si>
    <t>Basin 22 2034</t>
  </si>
  <si>
    <t>Basin 23 2034</t>
  </si>
  <si>
    <t>Basin 24 2034</t>
  </si>
  <si>
    <t>800,000m³ 2034</t>
  </si>
  <si>
    <t>Water quality monitoring 2034</t>
  </si>
  <si>
    <t>24 month maintenance 2034</t>
  </si>
  <si>
    <t>Other Capex  2034</t>
  </si>
  <si>
    <t>Land Purchase 2034</t>
  </si>
  <si>
    <t>Treatment Renewals - 2034</t>
  </si>
  <si>
    <t>Basins Renewals - 2034</t>
  </si>
  <si>
    <t>Gravity Main DN375 - 1m deep</t>
  </si>
  <si>
    <t>Gravity Main DN375 - 2m deep</t>
  </si>
  <si>
    <t>Gravity Main DN375 - 3m deep</t>
  </si>
  <si>
    <t>Gravity Main  DN375 - 4m deep</t>
  </si>
  <si>
    <t>Gravity Main  DN375 - 5m deep</t>
  </si>
  <si>
    <t>Gravity Main  DN375 - 6m deep</t>
  </si>
  <si>
    <t>Stormwater Pit - Pre-Cast - 1m deep</t>
  </si>
  <si>
    <t>Stormwater Pit - Pre-Cast - 2m deep</t>
  </si>
  <si>
    <t>Stormwater Pit - Pre-Cast - 3m deep</t>
  </si>
  <si>
    <t>Stormwater Pit - Pre-Cast - 4m deep</t>
  </si>
  <si>
    <t>Stormwater Pit - Pre-Cast - 5m deep</t>
  </si>
  <si>
    <t>Stormwater Pit - Pre-Cast - 6m deep</t>
  </si>
  <si>
    <t xml:space="preserve">Outlet channels - 20m wide </t>
  </si>
  <si>
    <t>Outlet channels - 25m wide</t>
  </si>
  <si>
    <t xml:space="preserve">Outlet channels - 30m wide </t>
  </si>
  <si>
    <t>Basin 22</t>
  </si>
  <si>
    <t>Basin 23</t>
  </si>
  <si>
    <t>Basin 24</t>
  </si>
  <si>
    <t>Basin 30</t>
  </si>
  <si>
    <t>Basin 31</t>
  </si>
  <si>
    <t>800,000m³</t>
  </si>
  <si>
    <t>Water quality monitoring</t>
  </si>
  <si>
    <t>24 month maintenance</t>
  </si>
  <si>
    <t>Land Purchase - 2035</t>
  </si>
  <si>
    <t>Treatment Renewals 2035</t>
  </si>
  <si>
    <t>Basins Renewals - 2035</t>
  </si>
  <si>
    <t>Treatment Renewals 2036</t>
  </si>
  <si>
    <t>Basins Renewals - 2036</t>
  </si>
  <si>
    <t>Treatment Renewals 2037</t>
  </si>
  <si>
    <t>Basins Renewals - 2037</t>
  </si>
  <si>
    <t>Recycled Water Renewals - 2037</t>
  </si>
  <si>
    <t>Treatment Renewals 2038</t>
  </si>
  <si>
    <t>Basins Renewals - 2038</t>
  </si>
  <si>
    <t>Recycled Water Renewals - 2038</t>
  </si>
  <si>
    <t>Mains Renewals - 2038</t>
  </si>
  <si>
    <t>Treatment Renewals 2039</t>
  </si>
  <si>
    <t>Basins Renewals - 2039</t>
  </si>
  <si>
    <t>Recycled Water Renewals - 2039</t>
  </si>
  <si>
    <t>Mains Renewals - 2039</t>
  </si>
  <si>
    <t>Treatment Renewals 2040</t>
  </si>
  <si>
    <t>Basins Renewals - 2040</t>
  </si>
  <si>
    <t>Recycled Water Renewals - 2040</t>
  </si>
  <si>
    <t>Mains Renewals - 2040</t>
  </si>
  <si>
    <t>Treatment Renewals 2041</t>
  </si>
  <si>
    <t>Basins Renewals - 2041</t>
  </si>
  <si>
    <t>Recycled Water Renewals - 2041</t>
  </si>
  <si>
    <t>Mains Renewals - 2041</t>
  </si>
  <si>
    <t>Treatment Renewals 2042</t>
  </si>
  <si>
    <t>Basins Renewals - 2042</t>
  </si>
  <si>
    <t>Recycled Water Renewals - 2042</t>
  </si>
  <si>
    <t>Mains Renewals - 2042</t>
  </si>
  <si>
    <t>Treatment Renewals 2043</t>
  </si>
  <si>
    <t>Basins Renewals - 2043</t>
  </si>
  <si>
    <t>Recycled Water Renewals - 2043</t>
  </si>
  <si>
    <t>Mains Renewals - 2043</t>
  </si>
  <si>
    <t>Treatment Renewals 2044</t>
  </si>
  <si>
    <t>Basins Renewals - 2044</t>
  </si>
  <si>
    <t>Recycled Water Renewals - 2044</t>
  </si>
  <si>
    <t>Mains Renewals - 2044</t>
  </si>
  <si>
    <t>Treatment Renewals 2045</t>
  </si>
  <si>
    <t>Basins Renewals - 2045</t>
  </si>
  <si>
    <t>Recycled Water Renewals - 2045</t>
  </si>
  <si>
    <t>Mains Renewals - 2045</t>
  </si>
  <si>
    <t>Treatment Renewals 2046</t>
  </si>
  <si>
    <t>Basins Renewals - 2046</t>
  </si>
  <si>
    <t>Recycled Water Renewals - 2046</t>
  </si>
  <si>
    <t>Mains Renewals - 2046</t>
  </si>
  <si>
    <t>Treatment Renewals 2047</t>
  </si>
  <si>
    <t>Basins Renewals - 2047</t>
  </si>
  <si>
    <t>Recycled Water Renewals - 2047</t>
  </si>
  <si>
    <t>Mains Renewals - 2047</t>
  </si>
  <si>
    <t>Treatment Renewals 2048</t>
  </si>
  <si>
    <t>Basins Renewals - 2048</t>
  </si>
  <si>
    <t>Recycled Water Renewals - 2048</t>
  </si>
  <si>
    <t>Mains Renewals - 2048</t>
  </si>
  <si>
    <t>Treatment Renewals 2049</t>
  </si>
  <si>
    <t>Basins Renewals - 2049</t>
  </si>
  <si>
    <t>Recycled Water Renewals - 2049</t>
  </si>
  <si>
    <t>Mains Renewals - 2049</t>
  </si>
  <si>
    <t>Treatment Renewals 2050</t>
  </si>
  <si>
    <t>Basins Renewals - 2050</t>
  </si>
  <si>
    <t>Recycled Water Renewals - 2050</t>
  </si>
  <si>
    <t>Mains Renewals - 2050</t>
  </si>
  <si>
    <t>Treatment Renewals 2051</t>
  </si>
  <si>
    <t>Basins Renewals - 2051</t>
  </si>
  <si>
    <t>Recycled Water Renewals - 2051</t>
  </si>
  <si>
    <t>Mains Renewals - 2051</t>
  </si>
  <si>
    <t>Treatment Renewals 2052</t>
  </si>
  <si>
    <t>Basins Renewals - 2052</t>
  </si>
  <si>
    <t>Recycled Water Renewals - 2052</t>
  </si>
  <si>
    <t>Mains Renewals - 2052</t>
  </si>
  <si>
    <t>Treatment Renewals 2053</t>
  </si>
  <si>
    <t>Basins Renewals - 2053</t>
  </si>
  <si>
    <t>Mains Renewals - 2053</t>
  </si>
  <si>
    <t>Treatment Renewals 2054</t>
  </si>
  <si>
    <t>Basins Renewals - 2054</t>
  </si>
  <si>
    <t>Mains Renewals - 2054</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</si>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</sst>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0;[Red]\-&quot;$&quot;#,##0"/>
    <numFmt numFmtId="165" formatCode="&quot;$&quot;#,##0.00;[Red]\-&quot;$&quot;#,##0.00"/>
    <numFmt numFmtId="166" formatCode="_(* #,##0.00_);_(* \(#,##0.00\);_(* &quot;-&quot;_);_(@_)"/>
    <numFmt numFmtId="167" formatCode="0.0%"/>
    <numFmt numFmtId="168" formatCode="#,##0.0"/>
    <numFmt numFmtId="169" formatCode="_(* #,##0.0_);_(* \(#,##0.0\);_(* &quot;-&quot;??_);_(@_)"/>
    <numFmt numFmtId="170" formatCode="[$-C09]dd\-mmmm\-yyyy;@"/>
    <numFmt numFmtId="171" formatCode="[$-C09]d\ mmmm\ yyyy;@"/>
    <numFmt numFmtId="172" formatCode="dd\ mmm\ yyyy"/>
    <numFmt numFmtId="173" formatCode="yyyy\-*y"/>
    <numFmt numFmtId="174" formatCode="&quot;$&quot;#,##0"/>
    <numFmt numFmtId="175" formatCode="#,##0.000"/>
    <numFmt numFmtId="176" formatCode="mmmm\ yyyy"/>
  </numFmts>
  <fonts count="24">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6"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7"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8" fontId="1" fillId="2" borderId="0" applyBorder="0">
      <alignment horizontal="right"/>
      <protection locked="0"/>
    </xf>
    <xf numFmtId="167" fontId="1" fillId="3" borderId="0" applyBorder="0" applyAlignment="0">
      <protection locked="0"/>
    </xf>
    <xf numFmtId="0" fontId="14" fillId="7" borderId="0" applyNumberFormat="0" applyBorder="0" applyAlignment="0" applyProtection="0"/>
    <xf numFmtId="167" fontId="1" fillId="2" borderId="0" applyBorder="0" applyAlignment="0">
      <alignment horizontal="left"/>
      <protection locked="0"/>
    </xf>
    <xf numFmtId="168"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cellStyleXfs>
  <cellXfs count="206">
    <xf numFmtId="0" fontId="0" fillId="0" borderId="0" xfId="0"/>
    <xf numFmtId="0" fontId="0" fillId="6" borderId="0" xfId="0" applyFill="1"/>
    <xf numFmtId="0" fontId="9" fillId="0" borderId="0" xfId="0" applyFont="1"/>
    <xf numFmtId="168"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8" fontId="0" fillId="3" borderId="0" xfId="16" applyFont="1" applyBorder="1" applyAlignment="1">
      <protection locked="0"/>
    </xf>
    <xf numFmtId="169" fontId="4" fillId="0" borderId="0" xfId="1" applyNumberFormat="1" applyFont="1" applyFill="1" applyBorder="1" applyAlignment="1">
      <alignment horizontal="left"/>
    </xf>
    <xf numFmtId="169" fontId="5" fillId="5" borderId="0" xfId="9" applyNumberFormat="1" applyBorder="1" applyAlignment="1">
      <alignment horizontal="left"/>
    </xf>
    <xf numFmtId="169" fontId="2" fillId="0" borderId="0" xfId="4" applyNumberFormat="1" applyFill="1" applyBorder="1" applyAlignment="1">
      <alignment horizontal="left"/>
    </xf>
    <xf numFmtId="169" fontId="2" fillId="0" borderId="0" xfId="1" applyNumberFormat="1" applyFont="1" applyFill="1" applyBorder="1" applyAlignment="1">
      <alignment horizontal="left"/>
    </xf>
    <xf numFmtId="169" fontId="3" fillId="0" borderId="0" xfId="5" applyNumberFormat="1" applyFill="1" applyBorder="1" applyAlignment="1">
      <alignment horizontal="left"/>
    </xf>
    <xf numFmtId="169" fontId="3" fillId="0" borderId="0" xfId="1" applyNumberFormat="1" applyFont="1" applyFill="1" applyBorder="1" applyAlignment="1">
      <alignment horizontal="left"/>
    </xf>
    <xf numFmtId="169" fontId="0" fillId="0" borderId="9" xfId="1" applyNumberFormat="1" applyFont="1" applyBorder="1" applyAlignment="1">
      <alignment horizontal="left"/>
    </xf>
    <xf numFmtId="169"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171" fontId="1" fillId="4" borderId="7" xfId="6" applyNumberFormat="1" applyBorder="1" applyAlignment="1">
      <alignment horizontal="center"/>
      <protection locked="0"/>
    </xf>
    <xf numFmtId="3" fontId="1" fillId="4" borderId="8" xfId="6" applyNumberFormat="1" applyBorder="1" applyAlignment="1">
      <alignment horizontal="center"/>
      <protection locked="0"/>
    </xf>
    <xf numFmtId="4" fontId="1" fillId="4" borderId="8" xfId="6" applyBorder="1" applyAlignment="1">
      <protection locked="0"/>
    </xf>
    <xf numFmtId="172" fontId="0" fillId="0" borderId="0" xfId="0" applyNumberFormat="1"/>
    <xf numFmtId="172" fontId="1" fillId="4" borderId="6" xfId="6" applyNumberFormat="1" applyBorder="1" applyAlignment="1">
      <alignment horizontal="center"/>
      <protection locked="0"/>
    </xf>
    <xf numFmtId="172"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3" fontId="1" fillId="4" borderId="8" xfId="6" applyNumberFormat="1" applyBorder="1" applyAlignment="1">
      <protection locked="0"/>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165" fontId="0" fillId="0" borderId="0" xfId="0" applyNumberFormat="1"/>
    <xf numFmtId="172"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2" fontId="4" fillId="0" borderId="5" xfId="8" applyNumberFormat="1" applyBorder="1" applyAlignment="1" applyProtection="1">
      <alignment horizontal="center"/>
    </xf>
    <xf numFmtId="172" fontId="0" fillId="0" borderId="5" xfId="0" applyNumberFormat="1" applyBorder="1" applyAlignment="1">
      <alignment horizontal="center"/>
    </xf>
    <xf numFmtId="167"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4"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2"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2" fontId="0" fillId="0" borderId="6" xfId="0" applyNumberFormat="1" applyBorder="1"/>
    <xf numFmtId="172"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73" fontId="1" fillId="10" borderId="6" xfId="13" applyNumberFormat="1" applyFill="1" applyBorder="1" applyAlignment="1">
      <alignment horizontal="center"/>
      <protection locked="0"/>
    </xf>
    <xf numFmtId="167" fontId="1" fillId="0" borderId="6" xfId="18" applyNumberFormat="1" applyFont="1" applyBorder="1" applyAlignment="1" applyProtection="1">
      <alignment horizontal="center"/>
      <protection locked="0"/>
    </xf>
    <xf numFmtId="167" fontId="1" fillId="0" borderId="7" xfId="18" applyNumberFormat="1" applyFont="1" applyBorder="1" applyAlignment="1" applyProtection="1">
      <alignment horizontal="center"/>
      <protection locked="0"/>
    </xf>
    <xf numFmtId="170" fontId="0" fillId="0" borderId="0" xfId="0" applyNumberFormat="1"/>
    <xf numFmtId="172"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3"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0" fontId="19" fillId="0" borderId="0" xfId="0" applyFont="1" applyAlignment="1">
      <alignment wrapText="1"/>
    </xf>
    <xf numFmtId="167"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4"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71" fontId="1" fillId="4" borderId="8" xfId="6" applyNumberFormat="1" applyBorder="1" applyAlignment="1">
      <alignment horizontal="center"/>
      <protection locked="0"/>
    </xf>
    <xf numFmtId="172" fontId="1" fillId="4" borderId="8" xfId="6" applyNumberFormat="1" applyBorder="1" applyAlignment="1">
      <alignment horizontal="center"/>
      <protection locked="0"/>
    </xf>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167" fontId="0" fillId="0" borderId="6" xfId="0" applyNumberFormat="1" applyBorder="1"/>
    <xf numFmtId="167" fontId="0" fillId="0" borderId="7" xfId="0" applyNumberFormat="1" applyBorder="1"/>
    <xf numFmtId="167"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5" fontId="5" fillId="9" borderId="5" xfId="9" applyNumberFormat="1" applyFill="1" applyBorder="1"/>
    <xf numFmtId="3" fontId="10" fillId="0" borderId="5" xfId="0" applyNumberFormat="1" applyFont="1" applyBorder="1" applyAlignment="1">
      <alignment horizontal="center"/>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4"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7"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71"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6"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0" fontId="0" fillId="0" borderId="0" xfId="0"/>
    <xf numFmtId="1" fontId="1" fillId="4" borderId="7" xfId="6" applyNumberFormat="1" applyBorder="1" applyAlignment="1">
      <alignment horizontal="left" wrapText="1" indent="1"/>
      <protection locked="0"/>
    </xf>
    <xf numFmtId="164" fontId="1" fillId="4" borderId="0" xfId="6" applyNumberFormat="1" applyAlignment="1">
      <protection locked="0"/>
    </xf>
    <xf numFmtId="0" fontId="0" fillId="0" borderId="0" xfId="0"/>
    <xf numFmtId="168" fontId="1" fillId="4" borderId="7" xfId="6" applyNumberFormat="1" applyBorder="1" applyAlignment="1">
      <alignment horizontal="center"/>
      <protection locked="0"/>
    </xf>
    <xf numFmtId="0" fontId="0" fillId="0" borderId="0" xfId="0" applyAlignment="1">
      <alignment wrapText="1"/>
    </xf>
    <xf numFmtId="0" fontId="0" fillId="0" borderId="0" xfId="0"/>
    <xf numFmtId="0" fontId="0" fillId="0" borderId="0" xfId="0" applyAlignment="1">
      <alignment wrapText="1"/>
    </xf>
    <xf numFmtId="4" fontId="1" fillId="4" borderId="20" xfId="6"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0" fillId="0" borderId="0" xfId="0" applyAlignment="1"/>
    <xf numFmtId="0" fontId="0" fillId="0" borderId="10" xfId="0" applyBorder="1" applyAlignment="1"/>
  </cellXfs>
  <cellStyles count="20">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2" xfId="18" xr:uid="{00000000-0005-0000-0000-000011000000}"/>
    <cellStyle name="Percent 2 2" xfId="19" xr:uid="{00000000-0005-0000-0000-000012000000}"/>
    <cellStyle name="QA" xfId="14" xr:uid="{00000000-0005-0000-0000-000013000000}"/>
  </cellStyles>
  <dxfs count="15">
    <dxf>
      <font>
        <b/>
        <i val="0"/>
        <color rgb="FFFF0000"/>
      </font>
    </dxf>
    <dxf>
      <font>
        <b/>
        <i val="0"/>
        <color rgb="FFFF0000"/>
      </font>
    </dxf>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FF9933"/>
      <color rgb="FFDDDDDD"/>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13</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sydneywatercorporation.sharepoint.com/sites/CommercialSupportTeam/Shared%20Documents/General/Projects/Major%20Projects/Mamre%20&amp;%20Aerotropolis%20RW%20&amp;%20SW/Mamre%20Road_FBC/Draft%20Infrastructure%20Contribution%20Model%20-%20Mamre%20(FBC%20Model%20-%20Options%203a%20and%203b)%20-%20Post-FBC.xlsx" TargetMode="External"/><Relationship Id="rId2" Type="http://schemas.microsoft.com/office/2019/04/relationships/externalLinkLongPath" Target="https://sydneywatercorporation.sharepoint.com/sites/CommercialSupportTeam/Shared%20Documents/General/Projects/Major%20Projects/Mamre%20&amp;%20Aerotropolis%20RW%20&amp;%20SW/Mamre%20Road_FBC/Draft%20Infrastructure%20Contribution%20Model%20-%20Mamre%20(FBC%20Model%20-%20Options%203a%20and%203b)%20-%20Post-FBC.xlsx?F98DD031" TargetMode="External"/><Relationship Id="rId1" Type="http://schemas.openxmlformats.org/officeDocument/2006/relationships/externalLinkPath" Target="file:///\\F98DD031\Draft%20Infrastructure%20Contribution%20Model%20-%20Mamre%20(FBC%20Model%20-%20Options%203a%20and%203b)%20-%20Post-F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heet1 (2)"/>
      <sheetName val="Instructions"/>
      <sheetName val="Summary Results"/>
      <sheetName val="Inputs"/>
      <sheetName val="Scenario 1 - Output"/>
      <sheetName val="Scenario 2 - Output"/>
      <sheetName val="Scenario 3 - Output"/>
      <sheetName val="Scenario 4 - Output"/>
      <sheetName val="Scenario 4 - 850k"/>
      <sheetName val="Revenue Comparison"/>
      <sheetName val="Renewals --&gt;"/>
      <sheetName val="Presnetation Pack Graphs"/>
      <sheetName val="Lunch &amp; Learn Graphs"/>
      <sheetName val="SW treatment Renewal -opt 2"/>
      <sheetName val="Rejigged Cash Flow Nominal"/>
      <sheetName val="Rejigged Cash Flow Real"/>
      <sheetName val="Sheet8"/>
      <sheetName val="SW Mains Renewal calc-opt 2"/>
      <sheetName val="SW basins renewal - Opt 2"/>
      <sheetName val="SW capex-Opt 2"/>
      <sheetName val="RW transferMains Renewal -opt 3"/>
      <sheetName val="Just Stamp Duty - Do not use"/>
      <sheetName val="July 2024 RBCE SW"/>
      <sheetName val="Real Used Calculations"/>
      <sheetName val="Nominal - with land segment p50"/>
      <sheetName val="Nominal - with land segment p90"/>
      <sheetName val="Opex Calculation - Nominal"/>
      <sheetName val="Nominal Calculations"/>
      <sheetName val="Opex Calculation - p90 Nominal"/>
      <sheetName val="Sheet5"/>
      <sheetName val="Nominal Calcs"/>
      <sheetName val="Mamre Only (DRAFT)"/>
      <sheetName val="Sheet4"/>
      <sheetName val="Sheet1"/>
      <sheetName val="Opex internal Check"/>
      <sheetName val="Discount Rate check"/>
      <sheetName val="IC CHECK"/>
      <sheetName val="FBC Graphs"/>
      <sheetName val="Background Calculations --&gt;"/>
      <sheetName val="Land Breakdown"/>
      <sheetName val="March Opex"/>
      <sheetName val="December Opex"/>
      <sheetName val="Updated RBCE Calculations"/>
      <sheetName val="RBCE post-2032"/>
      <sheetName val="Waterfall"/>
      <sheetName val="Updated RBCE Calculations P90"/>
      <sheetName val="Graphs"/>
      <sheetName val="Cell Parameters"/>
      <sheetName val="Units List"/>
      <sheetName val="Inflation Calculation"/>
      <sheetName val="Assumptions Book"/>
      <sheetName val="RBCE Asset List and Timing"/>
      <sheetName val="Sheet6"/>
      <sheetName val="Sheet3"/>
      <sheetName val="Archive --&gt;"/>
      <sheetName val="Aero SW Regional"/>
      <sheetName val="Growth devel Aero (SW and RW)"/>
      <sheetName val="Aero RW - Cost Summary - WithRW"/>
      <sheetName val="Mamre Inputs"/>
    </sheetNames>
    <sheetDataSet>
      <sheetData sheetId="0"/>
      <sheetData sheetId="1"/>
      <sheetData sheetId="2"/>
      <sheetData sheetId="3"/>
      <sheetData sheetId="4"/>
      <sheetData sheetId="5"/>
      <sheetData sheetId="6"/>
      <sheetData sheetId="7">
        <row r="79">
          <cell r="E79">
            <v>416.39308158835104</v>
          </cell>
          <cell r="F79">
            <v>813.7402576570596</v>
          </cell>
          <cell r="G79">
            <v>821.98636539455163</v>
          </cell>
        </row>
        <row r="81">
          <cell r="G81">
            <v>7344.8265599999995</v>
          </cell>
        </row>
        <row r="137">
          <cell r="D137">
            <v>7189.7586453201966</v>
          </cell>
          <cell r="H137">
            <v>161.06018462447136</v>
          </cell>
          <cell r="I137">
            <v>1741.1542177971482</v>
          </cell>
          <cell r="J137">
            <v>2368.7295461653066</v>
          </cell>
          <cell r="K137">
            <v>792.27683516532306</v>
          </cell>
          <cell r="L137">
            <v>574.8350819239422</v>
          </cell>
          <cell r="M137">
            <v>301.41269850608933</v>
          </cell>
          <cell r="N137">
            <v>54.360438310343852</v>
          </cell>
          <cell r="O137">
            <v>54.360438310343852</v>
          </cell>
          <cell r="P137">
            <v>54.360438310343852</v>
          </cell>
          <cell r="Q137">
            <v>326.16262986206493</v>
          </cell>
          <cell r="R137">
            <v>761.04613634481939</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row>
        <row r="156">
          <cell r="H156">
            <v>345.88116186719998</v>
          </cell>
          <cell r="I156">
            <v>2249.0164407677094</v>
          </cell>
          <cell r="J156">
            <v>3804.9586689918056</v>
          </cell>
          <cell r="K156">
            <v>3957.5380973376314</v>
          </cell>
          <cell r="L156">
            <v>4820.5686839687505</v>
          </cell>
          <cell r="M156">
            <v>5246.4952529142065</v>
          </cell>
          <cell r="N156">
            <v>6199.7425258343937</v>
          </cell>
          <cell r="O156">
            <v>7407.6500926182634</v>
          </cell>
          <cell r="P156">
            <v>7677.7416097292316</v>
          </cell>
          <cell r="Q156">
            <v>8092.4454803015224</v>
          </cell>
          <cell r="R156">
            <v>8850.1359291657027</v>
          </cell>
          <cell r="S156">
            <v>9196.5653590083803</v>
          </cell>
          <cell r="T156">
            <v>9571.124890625666</v>
          </cell>
          <cell r="U156">
            <v>9811.1073518049161</v>
          </cell>
          <cell r="V156">
            <v>9994.055076328772</v>
          </cell>
          <cell r="W156">
            <v>10144.251153834199</v>
          </cell>
          <cell r="X156">
            <v>10298.742430927632</v>
          </cell>
          <cell r="Y156">
            <v>10457.695083145629</v>
          </cell>
          <cell r="Z156">
            <v>10587.952969581967</v>
          </cell>
          <cell r="AA156">
            <v>10723.024531054347</v>
          </cell>
          <cell r="AB156">
            <v>10863.096424836212</v>
          </cell>
          <cell r="AC156">
            <v>11008.362686146047</v>
          </cell>
          <cell r="AD156">
            <v>11159.025021939946</v>
          </cell>
          <cell r="AE156">
            <v>11315.193319213964</v>
          </cell>
          <cell r="AF156">
            <v>11477.1853543957</v>
          </cell>
          <cell r="AG156">
            <v>11645.227732091713</v>
          </cell>
          <cell r="AH156">
            <v>11819.556025919181</v>
          </cell>
          <cell r="AI156">
            <v>12000.415135838712</v>
          </cell>
          <cell r="AJ156">
            <v>12188.059659759074</v>
          </cell>
          <cell r="AK156">
            <v>12382.754279984365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topLeftCell="A30" zoomScaleNormal="100" workbookViewId="0">
      <selection activeCell="C46" sqref="C46:E46"/>
    </sheetView>
  </sheetViews>
  <sheetFormatPr defaultColWidth="9.140625" defaultRowHeight="12"/>
  <cols>
    <col min="1" max="3" width="2.7109375" customWidth="1"/>
    <col min="4" max="4" width="10.28515625" customWidth="1"/>
    <col min="5" max="5" width="139.7109375" customWidth="1"/>
  </cols>
  <sheetData>
    <row r="1" spans="3:9" ht="12" customHeight="1">
      <c r="C1" s="199"/>
      <c r="D1" s="199"/>
      <c r="E1" s="199"/>
      <c r="F1" s="199"/>
      <c r="G1" s="199"/>
      <c r="H1" s="199"/>
      <c r="I1" s="199"/>
    </row>
    <row r="2" spans="3:9" ht="12" customHeight="1">
      <c r="C2" s="199"/>
      <c r="D2" s="2"/>
      <c r="E2" s="2"/>
      <c r="F2" s="199"/>
      <c r="G2" s="199"/>
      <c r="H2" s="199"/>
      <c r="I2" s="199"/>
    </row>
    <row r="3" spans="3:9" ht="20.25" customHeight="1">
      <c r="C3" s="2" t="s">
        <v>0</v>
      </c>
      <c r="D3" s="7"/>
      <c r="E3" s="7"/>
      <c r="F3" s="8"/>
      <c r="G3" s="8"/>
      <c r="H3" s="8"/>
      <c r="I3" s="8"/>
    </row>
    <row r="4" spans="3:9" ht="12" customHeight="1">
      <c r="C4" s="7"/>
      <c r="D4" s="7"/>
      <c r="E4" s="7"/>
      <c r="F4" s="8"/>
      <c r="G4" s="8"/>
      <c r="H4" s="8"/>
      <c r="I4" s="8"/>
    </row>
    <row r="5" spans="3:9">
      <c r="C5" s="6" t="s">
        <v>1</v>
      </c>
      <c r="D5" s="6"/>
      <c r="E5" s="9" t="s">
        <v>2</v>
      </c>
      <c r="F5" s="8"/>
      <c r="G5" s="8"/>
      <c r="H5" s="199"/>
      <c r="I5" s="8"/>
    </row>
    <row r="6" spans="3:9">
      <c r="C6" s="199" t="s">
        <v>3</v>
      </c>
      <c r="D6" s="199"/>
      <c r="E6" s="75" t="s">
        <v>4</v>
      </c>
      <c r="F6" s="8"/>
      <c r="G6" s="8"/>
      <c r="H6" s="199"/>
      <c r="I6" s="8"/>
    </row>
    <row r="8" spans="3:9" ht="15.75" customHeight="1">
      <c r="C8" s="7"/>
      <c r="D8" s="7"/>
      <c r="E8" s="7"/>
      <c r="F8" s="8"/>
      <c r="G8" s="8"/>
      <c r="H8" s="199"/>
      <c r="I8" s="199"/>
    </row>
    <row r="10" spans="3:9" ht="15">
      <c r="C10" s="10" t="s">
        <v>5</v>
      </c>
      <c r="D10" s="10"/>
      <c r="E10" s="11"/>
      <c r="F10" s="199"/>
      <c r="G10" s="199"/>
      <c r="H10" s="199"/>
      <c r="I10" s="199"/>
    </row>
    <row r="12" spans="3:9" ht="27" customHeight="1">
      <c r="C12" s="200" t="s">
        <v>6</v>
      </c>
      <c r="D12" s="200"/>
      <c r="E12" s="200"/>
      <c r="F12" s="8"/>
      <c r="G12" s="8"/>
      <c r="H12" s="199"/>
      <c r="I12" s="8"/>
    </row>
    <row r="13" spans="3:9">
      <c r="C13" s="198"/>
      <c r="D13" s="198"/>
      <c r="E13" s="198"/>
      <c r="F13" s="8"/>
      <c r="G13" s="8"/>
      <c r="H13" s="199"/>
      <c r="I13" s="8"/>
    </row>
    <row r="14" spans="3:9" ht="35.450000000000003" customHeight="1">
      <c r="C14" s="200" t="s">
        <v>7</v>
      </c>
      <c r="D14" s="200"/>
      <c r="E14" s="200"/>
      <c r="F14" s="8"/>
      <c r="G14" s="8"/>
      <c r="H14" s="199"/>
      <c r="I14" s="8"/>
    </row>
    <row r="15" spans="3:9" ht="15" customHeight="1">
      <c r="C15" s="12"/>
      <c r="D15" s="12"/>
      <c r="E15" s="8"/>
      <c r="F15" s="8"/>
      <c r="G15" s="8"/>
      <c r="H15" s="199"/>
      <c r="I15" s="8"/>
    </row>
    <row r="16" spans="3:9" ht="15" customHeight="1">
      <c r="C16" s="10" t="s">
        <v>8</v>
      </c>
      <c r="D16" s="10"/>
      <c r="E16" s="13"/>
      <c r="F16" s="8"/>
      <c r="G16" s="8"/>
      <c r="H16" s="199"/>
      <c r="I16" s="8"/>
    </row>
    <row r="17" spans="2:9" ht="15" customHeight="1">
      <c r="B17" s="199"/>
      <c r="C17" s="12"/>
      <c r="D17" s="12"/>
      <c r="E17" s="8"/>
      <c r="F17" s="8"/>
      <c r="G17" s="8"/>
      <c r="H17" s="199"/>
      <c r="I17" s="8"/>
    </row>
    <row r="18" spans="2:9" ht="37.5" customHeight="1">
      <c r="B18" s="199"/>
      <c r="C18" s="200"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00"/>
      <c r="E18" s="200"/>
      <c r="F18" s="8"/>
      <c r="G18" s="8"/>
      <c r="H18" s="199"/>
      <c r="I18" s="8"/>
    </row>
    <row r="19" spans="2:9" ht="6" customHeight="1">
      <c r="B19" s="199"/>
      <c r="C19" s="199"/>
      <c r="D19" s="12"/>
      <c r="E19" s="8"/>
      <c r="F19" s="8"/>
      <c r="G19" s="8"/>
      <c r="H19" s="199"/>
      <c r="I19" s="8"/>
    </row>
    <row r="20" spans="2:9" ht="37.5" customHeight="1">
      <c r="B20" s="122"/>
      <c r="C20" s="200"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00"/>
      <c r="E20" s="200"/>
      <c r="F20" s="8"/>
      <c r="G20" s="8"/>
      <c r="H20" s="199"/>
      <c r="I20" s="8"/>
    </row>
    <row r="21" spans="2:9">
      <c r="B21" s="122"/>
      <c r="C21" s="198"/>
      <c r="D21" s="198"/>
      <c r="E21" s="198"/>
      <c r="F21" s="8"/>
      <c r="G21" s="8"/>
      <c r="H21" s="199"/>
      <c r="I21" s="8"/>
    </row>
    <row r="22" spans="2:9" ht="15">
      <c r="B22" s="122"/>
      <c r="C22" s="10" t="s">
        <v>9</v>
      </c>
      <c r="D22" s="10"/>
      <c r="E22" s="13"/>
      <c r="F22" s="8"/>
      <c r="G22" s="8"/>
      <c r="H22" s="199"/>
      <c r="I22" s="8"/>
    </row>
    <row r="23" spans="2:9">
      <c r="B23" s="199"/>
      <c r="C23" s="199"/>
      <c r="D23" s="12"/>
      <c r="E23" s="8"/>
      <c r="F23" s="8"/>
      <c r="G23" s="8"/>
      <c r="H23" s="199"/>
      <c r="I23" s="8"/>
    </row>
    <row r="24" spans="2:9">
      <c r="B24" s="199"/>
      <c r="C24" s="6" t="s">
        <v>10</v>
      </c>
      <c r="D24" s="12"/>
      <c r="E24" s="8"/>
      <c r="F24" s="8"/>
      <c r="G24" s="8"/>
      <c r="H24" s="199"/>
      <c r="I24" s="8"/>
    </row>
    <row r="25" spans="2:9" ht="6" customHeight="1">
      <c r="B25" s="199"/>
      <c r="C25" s="199"/>
      <c r="D25" s="12"/>
      <c r="E25" s="8"/>
      <c r="F25" s="8"/>
      <c r="G25" s="8"/>
      <c r="H25" s="199"/>
      <c r="I25" s="8"/>
    </row>
    <row r="26" spans="2:9" ht="15" customHeight="1">
      <c r="B26" s="199"/>
      <c r="C26" s="204" t="s">
        <v>11</v>
      </c>
      <c r="D26" s="204"/>
      <c r="E26" s="204"/>
      <c r="F26" s="8"/>
      <c r="G26" s="8"/>
      <c r="H26" s="8"/>
      <c r="I26" s="8"/>
    </row>
    <row r="27" spans="2:9" ht="6" customHeight="1">
      <c r="B27" s="199"/>
      <c r="C27" s="199"/>
      <c r="D27" s="12"/>
      <c r="E27" s="8"/>
      <c r="F27" s="8"/>
      <c r="G27" s="8"/>
      <c r="H27" s="8"/>
      <c r="I27" s="8"/>
    </row>
    <row r="28" spans="2:9" ht="15" customHeight="1">
      <c r="B28" s="199"/>
      <c r="C28" s="123" t="s">
        <v>12</v>
      </c>
      <c r="D28" s="76" t="str">
        <f ca="1">MID(CELL("filename",'General inputs'!$A$1),FIND("]",CELL("filename",'General inputs'!$A$1))+1,255)</f>
        <v>General inputs</v>
      </c>
      <c r="E28" s="8"/>
      <c r="F28" s="8"/>
      <c r="G28" s="8"/>
      <c r="H28" s="8"/>
      <c r="I28" s="8"/>
    </row>
    <row r="29" spans="2:9" ht="15" customHeight="1">
      <c r="B29" s="199"/>
      <c r="C29" s="123" t="s">
        <v>12</v>
      </c>
      <c r="D29" s="8" t="str">
        <f ca="1">MID(CELL("filename",'Pre-1996 assets'!$A$1),FIND("]",CELL("filename",'Pre-1996 assets'!$A$1))+1,255)</f>
        <v>Pre-1996 assets</v>
      </c>
      <c r="E29" s="8"/>
      <c r="F29" s="8"/>
      <c r="G29" s="8"/>
      <c r="H29" s="8"/>
      <c r="I29" s="8"/>
    </row>
    <row r="30" spans="2:9" ht="15" customHeight="1">
      <c r="B30" s="199"/>
      <c r="C30" s="123" t="s">
        <v>12</v>
      </c>
      <c r="D30" s="8" t="str">
        <f ca="1">MID(CELL("filename",'Post-1996 commissioned assets'!$A$1),FIND("]",CELL("filename",'Post-1996 commissioned assets'!$A$1))+1,255)</f>
        <v>Post-1996 commissioned assets</v>
      </c>
      <c r="E30" s="8"/>
      <c r="F30" s="8"/>
      <c r="G30" s="8"/>
      <c r="H30" s="8"/>
      <c r="I30" s="8"/>
    </row>
    <row r="31" spans="2:9" ht="15" customHeight="1">
      <c r="B31" s="199"/>
      <c r="C31" s="123" t="s">
        <v>12</v>
      </c>
      <c r="D31" s="8" t="str">
        <f ca="1">MID(CELL("filename",'Uncommissioned assets'!$A$1),FIND("]",CELL("filename",'Uncommissioned assets'!$A$1))+1,255)</f>
        <v>Uncommissioned assets</v>
      </c>
      <c r="E31" s="8"/>
      <c r="F31" s="8"/>
      <c r="G31" s="8"/>
      <c r="H31" s="8"/>
      <c r="I31" s="8"/>
    </row>
    <row r="32" spans="2:9" ht="15" customHeight="1">
      <c r="B32" s="199"/>
      <c r="C32" s="123" t="s">
        <v>12</v>
      </c>
      <c r="D32" s="8" t="str">
        <f ca="1">MID(CELL("filename",'ET inputs'!$A$1),FIND("]",CELL("filename",'ET inputs'!$A$1))+1,255)</f>
        <v>ET inputs</v>
      </c>
      <c r="E32" s="8"/>
      <c r="F32" s="8"/>
      <c r="G32" s="8"/>
      <c r="H32" s="8"/>
      <c r="I32" s="8"/>
    </row>
    <row r="33" spans="3:9" ht="15" customHeight="1">
      <c r="C33" s="199"/>
      <c r="D33" s="8"/>
      <c r="E33" s="8"/>
      <c r="F33" s="8"/>
      <c r="G33" s="8"/>
      <c r="H33" s="8"/>
      <c r="I33" s="8"/>
    </row>
    <row r="34" spans="3:9">
      <c r="C34" s="6" t="s">
        <v>13</v>
      </c>
      <c r="D34" s="199"/>
      <c r="E34" s="199"/>
      <c r="F34" s="8"/>
      <c r="G34" s="8"/>
      <c r="H34" s="8"/>
      <c r="I34" s="8"/>
    </row>
    <row r="35" spans="3:9" ht="6" customHeight="1">
      <c r="C35" s="198"/>
      <c r="D35" s="198"/>
      <c r="E35" s="198"/>
      <c r="F35" s="8"/>
      <c r="G35" s="8"/>
      <c r="H35" s="8"/>
      <c r="I35" s="8"/>
    </row>
    <row r="36" spans="3:9" ht="15" customHeight="1">
      <c r="C36" s="200" t="s">
        <v>14</v>
      </c>
      <c r="D36" s="200"/>
      <c r="E36" s="200"/>
      <c r="F36" s="8"/>
      <c r="G36" s="8"/>
      <c r="H36" s="8"/>
      <c r="I36" s="8"/>
    </row>
    <row r="37" spans="3:9" ht="6" customHeight="1">
      <c r="C37" s="199"/>
      <c r="D37" s="12"/>
      <c r="E37" s="8"/>
      <c r="F37" s="8"/>
      <c r="G37" s="8"/>
      <c r="H37" s="8"/>
      <c r="I37" s="8"/>
    </row>
    <row r="38" spans="3:9" ht="15" customHeight="1">
      <c r="C38" s="124" t="s">
        <v>12</v>
      </c>
      <c r="D38" s="8" t="str">
        <f ca="1">MID(CELL("filename",'Reduction amount'!$A$1),FIND("]",CELL("filename",'Reduction amount'!$A$1))+1,255)</f>
        <v>Reduction amount</v>
      </c>
      <c r="E38" s="8"/>
      <c r="F38" s="8"/>
      <c r="G38" s="8"/>
      <c r="H38" s="8"/>
      <c r="I38" s="8"/>
    </row>
    <row r="39" spans="3:9" ht="6" customHeight="1">
      <c r="C39" s="199"/>
      <c r="D39" s="12"/>
      <c r="E39" s="8"/>
      <c r="F39" s="8"/>
      <c r="G39" s="8"/>
      <c r="H39" s="8"/>
      <c r="I39" s="8"/>
    </row>
    <row r="40" spans="3:9" ht="39" customHeight="1">
      <c r="C40" s="200"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00"/>
      <c r="E40" s="200"/>
      <c r="F40" s="8"/>
      <c r="G40" s="8"/>
      <c r="H40" s="8"/>
      <c r="I40" s="8"/>
    </row>
    <row r="41" spans="3:9" ht="6" customHeight="1">
      <c r="C41" s="199"/>
      <c r="D41" s="8"/>
      <c r="E41" s="8"/>
      <c r="F41" s="8"/>
      <c r="G41" s="8"/>
      <c r="H41" s="8"/>
      <c r="I41" s="8"/>
    </row>
    <row r="42" spans="3:9" ht="15" customHeight="1">
      <c r="C42" s="199"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c r="C43" s="199"/>
      <c r="D43" s="12"/>
      <c r="E43" s="8"/>
      <c r="F43" s="8"/>
      <c r="G43" s="8"/>
      <c r="H43" s="8"/>
      <c r="I43" s="8"/>
    </row>
    <row r="44" spans="3:9" ht="15" customHeight="1">
      <c r="C44" s="6" t="s">
        <v>15</v>
      </c>
      <c r="D44" s="8"/>
      <c r="E44" s="8"/>
      <c r="F44" s="8"/>
      <c r="G44" s="8"/>
      <c r="H44" s="8"/>
      <c r="I44" s="8"/>
    </row>
    <row r="45" spans="3:9" ht="6" customHeight="1">
      <c r="C45" s="6"/>
      <c r="D45" s="8"/>
      <c r="E45" s="8"/>
      <c r="F45" s="8"/>
      <c r="G45" s="8"/>
      <c r="H45" s="8"/>
      <c r="I45" s="8"/>
    </row>
    <row r="46" spans="3:9" ht="15" customHeight="1">
      <c r="C46" s="200" t="s">
        <v>16</v>
      </c>
      <c r="D46" s="200"/>
      <c r="E46" s="200"/>
      <c r="F46" s="8"/>
      <c r="G46" s="8"/>
      <c r="H46" s="8"/>
      <c r="I46" s="8"/>
    </row>
    <row r="47" spans="3:9" ht="6" customHeight="1">
      <c r="C47" s="198"/>
      <c r="D47" s="198"/>
      <c r="E47" s="198"/>
      <c r="F47" s="8"/>
      <c r="G47" s="8"/>
      <c r="H47" s="8"/>
      <c r="I47" s="8"/>
    </row>
    <row r="48" spans="3:9" ht="15" customHeight="1">
      <c r="C48" s="124" t="s">
        <v>12</v>
      </c>
      <c r="D48" s="8" t="str">
        <f ca="1">MID(CELL("filename",'Headwork assets'!$A$1),FIND("]",CELL("filename",'Headwork assets'!$A$1))+1,255)</f>
        <v>Headwork assets</v>
      </c>
      <c r="E48" s="8"/>
      <c r="F48" s="8"/>
      <c r="G48" s="8"/>
      <c r="H48" s="8"/>
      <c r="I48" s="8"/>
    </row>
    <row r="49" spans="3:9" ht="6" customHeight="1">
      <c r="C49" s="124"/>
      <c r="D49" s="8"/>
      <c r="E49" s="8"/>
      <c r="F49" s="8"/>
      <c r="G49" s="8"/>
      <c r="H49" s="8"/>
      <c r="I49" s="8"/>
    </row>
    <row r="50" spans="3:9" ht="15" customHeight="1">
      <c r="C50" s="204" t="s">
        <v>17</v>
      </c>
      <c r="D50" s="204"/>
      <c r="E50" s="204"/>
      <c r="F50" s="8"/>
      <c r="G50" s="8"/>
      <c r="H50" s="8"/>
      <c r="I50" s="8"/>
    </row>
    <row r="51" spans="3:9" ht="6" customHeight="1">
      <c r="C51" s="199"/>
      <c r="D51" s="199"/>
      <c r="E51" s="199"/>
      <c r="F51" s="8"/>
      <c r="G51" s="8"/>
      <c r="H51" s="8"/>
      <c r="I51" s="8"/>
    </row>
    <row r="52" spans="3:9" ht="24" customHeight="1">
      <c r="C52" s="200" t="s">
        <v>18</v>
      </c>
      <c r="D52" s="200"/>
      <c r="E52" s="200"/>
      <c r="F52" s="8"/>
      <c r="G52" s="8"/>
      <c r="H52" s="8"/>
      <c r="I52" s="8"/>
    </row>
    <row r="53" spans="3:9" ht="15" customHeight="1">
      <c r="C53" s="198"/>
      <c r="D53" s="198"/>
      <c r="E53" s="198"/>
      <c r="F53" s="8"/>
      <c r="G53" s="8"/>
      <c r="H53" s="8"/>
      <c r="I53" s="8"/>
    </row>
    <row r="54" spans="3:9" ht="15" customHeight="1">
      <c r="C54" s="199"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198"/>
      <c r="E54" s="198"/>
      <c r="F54" s="8"/>
      <c r="G54" s="8"/>
      <c r="H54" s="8"/>
      <c r="I54" s="8"/>
    </row>
    <row r="55" spans="3:9" ht="15" customHeight="1">
      <c r="C55" s="198"/>
      <c r="D55" s="198"/>
      <c r="E55" s="198"/>
      <c r="F55" s="8"/>
      <c r="G55" s="8"/>
      <c r="H55" s="8"/>
      <c r="I55" s="8"/>
    </row>
    <row r="56" spans="3:9" ht="15" customHeight="1">
      <c r="C56" s="6" t="s">
        <v>19</v>
      </c>
      <c r="D56" s="8"/>
      <c r="E56" s="8"/>
      <c r="F56" s="8"/>
      <c r="G56" s="8"/>
      <c r="H56" s="8"/>
      <c r="I56" s="8"/>
    </row>
    <row r="57" spans="3:9" ht="6" customHeight="1">
      <c r="C57" s="6"/>
      <c r="D57" s="8"/>
      <c r="E57" s="8"/>
      <c r="F57" s="8"/>
      <c r="G57" s="8"/>
      <c r="H57" s="8"/>
      <c r="I57" s="8"/>
    </row>
    <row r="58" spans="3:9" ht="15" customHeight="1">
      <c r="C58" s="200" t="s">
        <v>20</v>
      </c>
      <c r="D58" s="200"/>
      <c r="E58" s="200"/>
      <c r="F58" s="8"/>
      <c r="G58" s="8"/>
      <c r="H58" s="8"/>
      <c r="I58" s="8"/>
    </row>
    <row r="59" spans="3:9" ht="6" customHeight="1">
      <c r="C59" s="198"/>
      <c r="D59" s="198"/>
      <c r="E59" s="198"/>
      <c r="F59" s="8"/>
      <c r="G59" s="8"/>
      <c r="H59" s="8"/>
      <c r="I59" s="8"/>
    </row>
    <row r="60" spans="3:9" ht="15" customHeight="1">
      <c r="C60" s="124" t="s">
        <v>12</v>
      </c>
      <c r="D60" s="8" t="str">
        <f ca="1">MID(CELL("filename",'Scheme cost allocation'!$A$1),FIND("]",CELL("filename",'Scheme cost allocation'!$A$1))+1,255)</f>
        <v>Scheme cost allocation</v>
      </c>
      <c r="E60" s="8"/>
      <c r="F60" s="8"/>
      <c r="G60" s="8"/>
      <c r="H60" s="8"/>
      <c r="I60" s="8"/>
    </row>
    <row r="61" spans="3:9" ht="6" customHeight="1">
      <c r="C61" s="124"/>
      <c r="D61" s="8"/>
      <c r="E61" s="8"/>
      <c r="F61" s="8"/>
      <c r="G61" s="8"/>
      <c r="H61" s="8"/>
      <c r="I61" s="8"/>
    </row>
    <row r="62" spans="3:9" ht="15" customHeight="1">
      <c r="C62" s="204" t="s">
        <v>21</v>
      </c>
      <c r="D62" s="204"/>
      <c r="E62" s="204"/>
      <c r="F62" s="8"/>
      <c r="G62" s="8"/>
      <c r="H62" s="8"/>
      <c r="I62" s="8"/>
    </row>
    <row r="63" spans="3:9" ht="6" customHeight="1">
      <c r="C63" s="199"/>
      <c r="D63" s="199"/>
      <c r="E63" s="199"/>
      <c r="F63" s="8"/>
      <c r="G63" s="8"/>
      <c r="H63" s="8"/>
      <c r="I63" s="8"/>
    </row>
    <row r="64" spans="3:9" ht="24" customHeight="1">
      <c r="C64" s="200" t="s">
        <v>18</v>
      </c>
      <c r="D64" s="200"/>
      <c r="E64" s="200"/>
      <c r="F64" s="8"/>
      <c r="G64" s="8"/>
      <c r="H64" s="8"/>
      <c r="I64" s="8"/>
    </row>
    <row r="65" spans="3:9" ht="6" customHeight="1">
      <c r="C65" s="198"/>
      <c r="D65" s="198"/>
      <c r="E65" s="198"/>
      <c r="F65" s="8"/>
      <c r="G65" s="8"/>
      <c r="H65" s="8"/>
      <c r="I65" s="8"/>
    </row>
    <row r="66" spans="3:9" ht="15" customHeight="1">
      <c r="C66" s="199"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198"/>
      <c r="E66" s="198"/>
      <c r="F66" s="8"/>
      <c r="G66" s="8"/>
      <c r="H66" s="8"/>
      <c r="I66" s="8"/>
    </row>
    <row r="67" spans="3:9" ht="15" customHeight="1">
      <c r="C67" s="198"/>
      <c r="D67" s="198"/>
      <c r="E67" s="198"/>
      <c r="F67" s="8"/>
      <c r="G67" s="8"/>
      <c r="H67" s="8"/>
      <c r="I67" s="8"/>
    </row>
    <row r="68" spans="3:9" ht="15" customHeight="1">
      <c r="C68" s="6" t="s">
        <v>22</v>
      </c>
      <c r="D68" s="6"/>
      <c r="E68" s="125"/>
      <c r="F68" s="8"/>
      <c r="G68" s="8"/>
      <c r="H68" s="8"/>
      <c r="I68" s="8"/>
    </row>
    <row r="69" spans="3:9" ht="6" customHeight="1">
      <c r="C69" s="6"/>
      <c r="D69" s="6"/>
      <c r="E69" s="125"/>
      <c r="F69" s="8"/>
      <c r="G69" s="8"/>
      <c r="H69" s="8"/>
      <c r="I69" s="8"/>
    </row>
    <row r="70" spans="3:9" ht="15" customHeight="1">
      <c r="C70" s="4" t="s">
        <v>23</v>
      </c>
      <c r="D70" s="6"/>
      <c r="E70" s="125"/>
      <c r="F70" s="8"/>
      <c r="G70" s="8"/>
      <c r="H70" s="8"/>
      <c r="I70" s="8"/>
    </row>
    <row r="71" spans="3:9" ht="6" customHeight="1">
      <c r="C71" s="4"/>
      <c r="D71" s="6"/>
      <c r="E71" s="125"/>
      <c r="F71" s="8"/>
      <c r="G71" s="8"/>
      <c r="H71" s="8"/>
      <c r="I71" s="8"/>
    </row>
    <row r="72" spans="3:9">
      <c r="C72" s="124" t="s">
        <v>12</v>
      </c>
      <c r="D72" s="76" t="str">
        <f ca="1">MID(CELL("filename",'MP Calculations'!A8),FIND("]",CELL("filename",'MP Calculations'!A8))+1,255)</f>
        <v>MP Calculations</v>
      </c>
      <c r="E72" s="125"/>
      <c r="F72" s="8"/>
      <c r="G72" s="8"/>
      <c r="H72" s="8"/>
      <c r="I72" s="8"/>
    </row>
    <row r="73" spans="3:9">
      <c r="C73" s="124" t="s">
        <v>12</v>
      </c>
      <c r="D73" s="76" t="str">
        <f ca="1">MID(CELL("filename",'Summary of result'!A13),FIND("]",CELL("filename",'Summary of result'!A13))+1,255)</f>
        <v>Summary of result</v>
      </c>
      <c r="E73" s="125"/>
      <c r="F73" s="8"/>
      <c r="G73" s="8"/>
      <c r="H73" s="8"/>
      <c r="I73" s="8"/>
    </row>
    <row r="74" spans="3:9" ht="6" customHeight="1">
      <c r="C74" s="124"/>
      <c r="D74" s="76"/>
      <c r="E74" s="125"/>
      <c r="F74" s="8"/>
      <c r="G74" s="8"/>
      <c r="H74" s="8"/>
      <c r="I74" s="8"/>
    </row>
    <row r="75" spans="3:9">
      <c r="C75" s="200" t="s">
        <v>24</v>
      </c>
      <c r="D75" s="200"/>
      <c r="E75" s="200"/>
      <c r="F75" s="8"/>
      <c r="G75" s="8"/>
      <c r="H75" s="8"/>
      <c r="I75" s="8"/>
    </row>
    <row r="76" spans="3:9" ht="15" customHeight="1">
      <c r="C76" s="199"/>
      <c r="D76" s="12"/>
      <c r="E76" s="8"/>
      <c r="F76" s="8"/>
      <c r="G76" s="8"/>
      <c r="H76" s="8"/>
      <c r="I76" s="8"/>
    </row>
    <row r="77" spans="3:9" ht="15" customHeight="1">
      <c r="C77" s="6" t="s">
        <v>25</v>
      </c>
      <c r="D77" s="12"/>
      <c r="E77" s="8"/>
      <c r="F77" s="8"/>
      <c r="G77" s="8"/>
      <c r="H77" s="8"/>
      <c r="I77" s="8"/>
    </row>
    <row r="78" spans="3:9" ht="6" customHeight="1">
      <c r="C78" s="199"/>
      <c r="D78" s="12"/>
      <c r="E78" s="8"/>
      <c r="F78" s="8"/>
      <c r="G78" s="8"/>
      <c r="H78" s="8"/>
      <c r="I78" s="8"/>
    </row>
    <row r="79" spans="3:9" ht="15" customHeight="1">
      <c r="C79" s="8" t="s">
        <v>26</v>
      </c>
      <c r="D79" s="12"/>
      <c r="E79" s="8"/>
      <c r="F79" s="8"/>
      <c r="G79" s="8"/>
      <c r="H79" s="8"/>
      <c r="I79" s="8"/>
    </row>
    <row r="80" spans="3:9" ht="6" customHeight="1">
      <c r="C80" s="8"/>
      <c r="D80" s="12"/>
      <c r="E80" s="8"/>
      <c r="F80" s="8"/>
      <c r="G80" s="8"/>
      <c r="H80" s="8"/>
      <c r="I80" s="8"/>
    </row>
    <row r="81" spans="3:9" ht="15" customHeight="1">
      <c r="C81" s="124" t="s">
        <v>12</v>
      </c>
      <c r="D81" s="76" t="str">
        <f ca="1">MID(CELL("filename",'Asset exclusions'!A14),FIND("]",CELL("filename",'Asset exclusions'!A14))+1,255)</f>
        <v>Asset exclusions</v>
      </c>
      <c r="E81" s="8"/>
      <c r="F81" s="8"/>
      <c r="G81" s="8"/>
      <c r="H81" s="8"/>
      <c r="I81" s="8"/>
    </row>
    <row r="82" spans="3:9" ht="15" customHeight="1">
      <c r="C82" s="12"/>
      <c r="D82" s="12"/>
      <c r="E82" s="8"/>
      <c r="F82" s="8"/>
      <c r="G82" s="8"/>
      <c r="H82" s="8"/>
      <c r="I82" s="8"/>
    </row>
    <row r="83" spans="3:9" ht="15" customHeight="1">
      <c r="C83" s="125" t="s">
        <v>27</v>
      </c>
      <c r="D83" s="12"/>
      <c r="E83" s="8"/>
      <c r="F83" s="8"/>
      <c r="G83" s="8"/>
      <c r="H83" s="8"/>
      <c r="I83" s="8"/>
    </row>
    <row r="84" spans="3:9" ht="15" customHeight="1">
      <c r="C84" s="124" t="s">
        <v>12</v>
      </c>
      <c r="D84" s="128" t="s">
        <v>28</v>
      </c>
      <c r="E84" s="199"/>
      <c r="F84" s="8"/>
      <c r="G84" s="8"/>
      <c r="H84" s="8"/>
      <c r="I84" s="8"/>
    </row>
    <row r="85" spans="3:9" ht="15" customHeight="1">
      <c r="C85" s="124" t="s">
        <v>12</v>
      </c>
      <c r="D85" s="191" t="s">
        <v>29</v>
      </c>
      <c r="E85" s="199"/>
      <c r="F85" s="8"/>
      <c r="G85" s="8"/>
      <c r="H85" s="8"/>
      <c r="I85" s="8"/>
    </row>
    <row r="86" spans="3:9" ht="15" customHeight="1">
      <c r="C86" s="124"/>
      <c r="D86" s="191"/>
      <c r="E86" s="199"/>
      <c r="F86" s="8"/>
      <c r="G86" s="8"/>
      <c r="H86" s="8"/>
      <c r="I86" s="8"/>
    </row>
    <row r="87" spans="3:9" ht="15" customHeight="1">
      <c r="C87" s="8" t="s">
        <v>30</v>
      </c>
      <c r="D87" s="191"/>
      <c r="E87" s="199"/>
      <c r="F87" s="8"/>
      <c r="G87" s="8"/>
      <c r="H87" s="8"/>
      <c r="I87" s="8"/>
    </row>
    <row r="88" spans="3:9" ht="15" customHeight="1">
      <c r="C88" s="8"/>
      <c r="D88" s="191"/>
      <c r="E88" s="199"/>
      <c r="F88" s="8"/>
      <c r="G88" s="8"/>
      <c r="H88" s="8"/>
      <c r="I88" s="8"/>
    </row>
    <row r="89" spans="3:9" ht="15" customHeight="1">
      <c r="C89" s="12"/>
      <c r="D89" s="12"/>
      <c r="E89" s="8"/>
      <c r="F89" s="8"/>
      <c r="G89" s="8"/>
      <c r="H89" s="8"/>
      <c r="I89" s="8"/>
    </row>
    <row r="90" spans="3:9" ht="15" customHeight="1">
      <c r="C90" s="10" t="s">
        <v>31</v>
      </c>
      <c r="D90" s="10"/>
      <c r="E90" s="13"/>
      <c r="F90" s="8"/>
      <c r="G90" s="8"/>
      <c r="H90" s="8"/>
      <c r="I90" s="8"/>
    </row>
    <row r="91" spans="3:9" ht="15" customHeight="1">
      <c r="C91" s="4" t="s">
        <v>32</v>
      </c>
      <c r="D91" s="4"/>
      <c r="E91" s="8"/>
      <c r="F91" s="8"/>
      <c r="G91" s="8"/>
      <c r="H91" s="8"/>
      <c r="I91" s="8"/>
    </row>
    <row r="92" spans="3:9" ht="15" customHeight="1">
      <c r="C92" s="14" t="s">
        <v>33</v>
      </c>
      <c r="D92" s="14"/>
      <c r="E92" s="14"/>
      <c r="F92" s="8"/>
      <c r="G92" s="8"/>
      <c r="H92" s="8"/>
      <c r="I92" s="8"/>
    </row>
    <row r="93" spans="3:9" ht="15" customHeight="1">
      <c r="C93" s="3" t="s">
        <v>34</v>
      </c>
      <c r="D93" s="15"/>
      <c r="E93" s="15"/>
      <c r="F93" s="8"/>
      <c r="G93" s="8"/>
      <c r="H93" s="8"/>
      <c r="I93" s="8"/>
    </row>
    <row r="94" spans="3:9" ht="15" customHeight="1">
      <c r="C94" s="4"/>
      <c r="D94" s="4"/>
      <c r="E94" s="4" t="s">
        <v>35</v>
      </c>
      <c r="F94" s="8"/>
      <c r="G94" s="8"/>
      <c r="H94" s="8"/>
      <c r="I94" s="8"/>
    </row>
    <row r="95" spans="3:9" ht="15" customHeight="1">
      <c r="C95" s="111" t="s">
        <v>36</v>
      </c>
      <c r="D95" s="112"/>
      <c r="E95" s="112"/>
      <c r="F95" s="8"/>
      <c r="G95" s="8"/>
      <c r="H95" s="8"/>
      <c r="I95" s="8"/>
    </row>
    <row r="96" spans="3:9" ht="15" customHeight="1">
      <c r="C96" s="16" t="s">
        <v>37</v>
      </c>
      <c r="D96" s="16"/>
      <c r="E96" s="16"/>
      <c r="F96" s="8"/>
      <c r="G96" s="8"/>
      <c r="H96" s="8"/>
      <c r="I96" s="8"/>
    </row>
    <row r="97" spans="3:9" ht="15" customHeight="1">
      <c r="C97" s="17" t="s">
        <v>38</v>
      </c>
      <c r="D97" s="17"/>
      <c r="E97" s="17"/>
      <c r="F97" s="8"/>
      <c r="G97" s="8"/>
      <c r="H97" s="8"/>
      <c r="I97" s="8"/>
    </row>
    <row r="98" spans="3:9" ht="15" customHeight="1">
      <c r="C98" s="18" t="s">
        <v>39</v>
      </c>
      <c r="D98" s="18"/>
      <c r="E98" s="19"/>
      <c r="F98" s="8"/>
      <c r="G98" s="8"/>
      <c r="H98" s="8"/>
      <c r="I98" s="8"/>
    </row>
    <row r="99" spans="3:9" ht="15" customHeight="1">
      <c r="C99" s="20" t="s">
        <v>40</v>
      </c>
      <c r="D99" s="20"/>
      <c r="E99" s="21"/>
      <c r="F99" s="8"/>
      <c r="G99" s="8"/>
      <c r="H99" s="8"/>
      <c r="I99" s="8"/>
    </row>
    <row r="100" spans="3:9" ht="15" customHeight="1">
      <c r="C100" s="22" t="s">
        <v>41</v>
      </c>
      <c r="D100" s="23"/>
      <c r="E100" s="23"/>
      <c r="F100" s="8"/>
      <c r="G100" s="8"/>
      <c r="H100" s="8"/>
      <c r="I100" s="8"/>
    </row>
    <row r="101" spans="3:9" ht="15" customHeight="1">
      <c r="C101" s="12"/>
      <c r="D101" s="12"/>
      <c r="E101" s="8"/>
      <c r="F101" s="8"/>
      <c r="G101" s="8"/>
      <c r="H101" s="8"/>
      <c r="I101" s="8"/>
    </row>
    <row r="102" spans="3:9">
      <c r="C102" s="12"/>
      <c r="D102" s="12"/>
      <c r="E102" s="8"/>
      <c r="F102" s="8"/>
      <c r="G102" s="8"/>
      <c r="H102" s="8"/>
      <c r="I102" s="8"/>
    </row>
  </sheetData>
  <sheetProtection algorithmName="SHA-512" hashValue="K9YhDV9WhLDkrlXkSPb76L9lAffgUVp8ghBmYJGZg7Qiu3iKtZ9/ts66peZOXoDUq3+5ZAMRXcwe977bQ8GWSw==" saltValue="WWU37CPUBaw6PKOgmFs2sw==" spinCount="100000" sheet="1" objects="1" scenarios="1"/>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cols>
    <col min="1" max="2" width="2.7109375" customWidth="1"/>
    <col min="3" max="5" width="40.5703125" customWidth="1"/>
    <col min="6" max="6" width="20.5703125" customWidth="1"/>
    <col min="7" max="7" width="17.5703125" customWidth="1"/>
  </cols>
  <sheetData>
    <row r="3" spans="3:7" ht="20.25" customHeight="1">
      <c r="C3" s="2" t="s">
        <v>42</v>
      </c>
      <c r="D3" s="199"/>
      <c r="E3" s="199"/>
      <c r="F3" s="199"/>
      <c r="G3" s="199"/>
    </row>
    <row r="5" spans="3:7">
      <c r="C5" s="6" t="s">
        <v>43</v>
      </c>
      <c r="D5" s="6" t="s">
        <v>44</v>
      </c>
      <c r="E5" s="6" t="s">
        <v>45</v>
      </c>
      <c r="F5" s="6" t="s">
        <v>46</v>
      </c>
      <c r="G5" s="6" t="s">
        <v>47</v>
      </c>
    </row>
    <row r="6" spans="3:7" ht="36">
      <c r="C6" s="185" t="s">
        <v>48</v>
      </c>
      <c r="D6" s="185" t="s">
        <v>49</v>
      </c>
      <c r="E6" s="185" t="s">
        <v>50</v>
      </c>
      <c r="F6" s="188" t="s">
        <v>51</v>
      </c>
      <c r="G6" s="189">
        <v>43678</v>
      </c>
    </row>
    <row r="7" spans="3:7" ht="24">
      <c r="C7" s="185" t="s">
        <v>48</v>
      </c>
      <c r="D7" s="185" t="s">
        <v>52</v>
      </c>
      <c r="E7" s="185" t="s">
        <v>53</v>
      </c>
      <c r="F7" s="188" t="s">
        <v>51</v>
      </c>
      <c r="G7" s="189">
        <v>43678</v>
      </c>
    </row>
    <row r="8" spans="3:7" ht="48">
      <c r="C8" s="187" t="s">
        <v>54</v>
      </c>
      <c r="D8" s="187" t="s">
        <v>55</v>
      </c>
      <c r="E8" s="187" t="s">
        <v>56</v>
      </c>
      <c r="F8" s="188" t="s">
        <v>51</v>
      </c>
      <c r="G8" s="189">
        <v>43678</v>
      </c>
    </row>
    <row r="9" spans="3:7">
      <c r="C9" s="186"/>
      <c r="D9" s="186"/>
      <c r="E9" s="186"/>
      <c r="F9" s="188"/>
      <c r="G9" s="189"/>
    </row>
    <row r="10" spans="3:7">
      <c r="C10" s="186"/>
      <c r="D10" s="186"/>
      <c r="E10" s="186"/>
      <c r="F10" s="188"/>
      <c r="G10" s="189"/>
    </row>
    <row r="11" spans="3:7">
      <c r="C11" s="186"/>
      <c r="D11" s="186"/>
      <c r="E11" s="186"/>
      <c r="F11" s="188"/>
      <c r="G11" s="189"/>
    </row>
    <row r="12" spans="3:7">
      <c r="C12" s="186"/>
      <c r="D12" s="186"/>
      <c r="E12" s="186"/>
      <c r="F12" s="188"/>
      <c r="G12" s="189"/>
    </row>
    <row r="13" spans="3:7">
      <c r="C13" s="186"/>
      <c r="D13" s="186"/>
      <c r="E13" s="186"/>
      <c r="F13" s="188"/>
      <c r="G13" s="189"/>
    </row>
    <row r="14" spans="3:7">
      <c r="C14" s="186"/>
      <c r="D14" s="186"/>
      <c r="E14" s="186"/>
      <c r="F14" s="188"/>
      <c r="G14" s="189"/>
    </row>
    <row r="15" spans="3:7">
      <c r="C15" s="186"/>
      <c r="D15" s="186"/>
      <c r="E15" s="186"/>
      <c r="F15" s="188"/>
      <c r="G15" s="189"/>
    </row>
    <row r="16" spans="3:7">
      <c r="C16" s="186"/>
      <c r="D16" s="186"/>
      <c r="E16" s="186"/>
      <c r="F16" s="188"/>
      <c r="G16" s="189"/>
    </row>
    <row r="17" spans="3:7">
      <c r="C17" s="186"/>
      <c r="D17" s="186"/>
      <c r="E17" s="186"/>
      <c r="F17" s="188"/>
      <c r="G17" s="189"/>
    </row>
    <row r="18" spans="3:7">
      <c r="C18" s="186"/>
      <c r="D18" s="186"/>
      <c r="E18" s="186"/>
      <c r="F18" s="188"/>
      <c r="G18" s="189"/>
    </row>
    <row r="19" spans="3:7">
      <c r="C19" s="186"/>
      <c r="D19" s="186"/>
      <c r="E19" s="186"/>
      <c r="F19" s="188"/>
      <c r="G19" s="189"/>
    </row>
    <row r="20" spans="3:7">
      <c r="C20" s="186"/>
      <c r="D20" s="186"/>
      <c r="E20" s="186"/>
      <c r="F20" s="188"/>
      <c r="G20" s="189"/>
    </row>
    <row r="21" spans="3:7">
      <c r="C21" s="186"/>
      <c r="D21" s="186"/>
      <c r="E21" s="186"/>
      <c r="F21" s="188"/>
      <c r="G21" s="189"/>
    </row>
    <row r="22" spans="3:7">
      <c r="C22" s="186"/>
      <c r="D22" s="186"/>
      <c r="E22" s="186"/>
      <c r="F22" s="188"/>
      <c r="G22" s="189"/>
    </row>
    <row r="23" spans="3:7">
      <c r="C23" s="186"/>
      <c r="D23" s="186"/>
      <c r="E23" s="186"/>
      <c r="F23" s="188"/>
      <c r="G23" s="189"/>
    </row>
  </sheetData>
  <sheetProtection algorithmName="SHA-512" hashValue="dSXpIGAViNs+/fKSe0dTnWh3kNoVcNih4mTQxDlAaR5G0YPSzjEhdTKR3shtBaf1ciX5I7KQUpNa15Z4TrWTAg==" saltValue="/b4XH0PkLDQmBJ3Gp4qYy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9"/>
  <sheetViews>
    <sheetView showGridLines="0" topLeftCell="A2" zoomScaleNormal="100" workbookViewId="0">
      <selection activeCell="J9" sqref="J9"/>
    </sheetView>
  </sheetViews>
  <sheetFormatPr defaultRowHeight="12"/>
  <cols>
    <col min="1" max="3" width="2.7109375" customWidth="1"/>
    <col min="4" max="4" width="23.85546875" customWidth="1"/>
    <col min="5" max="5" width="8" customWidth="1"/>
    <col min="6" max="6" width="2.7109375" customWidth="1"/>
    <col min="7" max="7" width="24.5703125" customWidth="1"/>
    <col min="9" max="9" width="18.28515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c r="A3" s="199"/>
      <c r="B3" s="199"/>
      <c r="C3" s="178" t="s">
        <v>57</v>
      </c>
      <c r="D3" s="199"/>
      <c r="E3" s="199"/>
      <c r="F3" s="199"/>
      <c r="G3" s="199"/>
      <c r="H3" s="199"/>
      <c r="I3" s="199"/>
      <c r="J3" s="199"/>
      <c r="K3" s="199"/>
      <c r="L3" s="199"/>
      <c r="M3" s="199"/>
      <c r="N3" s="199"/>
      <c r="O3" s="199"/>
      <c r="P3" s="199"/>
      <c r="Q3" s="199"/>
    </row>
    <row r="5" spans="1:17">
      <c r="A5" s="199"/>
      <c r="B5" s="199"/>
      <c r="C5" s="199"/>
      <c r="D5" s="199" t="s">
        <v>58</v>
      </c>
      <c r="E5" s="199"/>
      <c r="F5" s="199"/>
      <c r="G5" s="199"/>
      <c r="H5" s="199"/>
      <c r="I5" s="199"/>
      <c r="J5" s="199"/>
      <c r="K5" s="199"/>
      <c r="L5" s="199"/>
      <c r="M5" s="199"/>
      <c r="N5" s="199"/>
      <c r="O5" s="199"/>
      <c r="P5" s="199"/>
      <c r="Q5" s="191" t="s">
        <v>29</v>
      </c>
    </row>
    <row r="6" spans="1:17">
      <c r="A6" s="199"/>
      <c r="B6" s="199"/>
      <c r="C6" s="199"/>
      <c r="D6" s="199"/>
      <c r="E6" s="199"/>
      <c r="F6" s="199"/>
      <c r="G6" s="199"/>
      <c r="H6" s="199"/>
      <c r="I6" s="199"/>
      <c r="J6" s="199"/>
      <c r="K6" s="199"/>
      <c r="L6" s="199"/>
      <c r="M6" s="199"/>
      <c r="N6" s="199"/>
      <c r="O6" s="199"/>
      <c r="P6" s="199"/>
      <c r="Q6" s="191"/>
    </row>
    <row r="8" spans="1:17">
      <c r="A8" s="199"/>
      <c r="B8" s="199"/>
      <c r="C8" s="199"/>
      <c r="D8" s="1" t="str">
        <f>"The maximum price for the new development area '"&amp;'General inputs'!H7&amp;"' is:"</f>
        <v>The maximum price for the new development area 'Scheme Name' is:</v>
      </c>
      <c r="E8" s="199"/>
      <c r="F8" s="199"/>
      <c r="G8" s="199"/>
      <c r="H8" s="199"/>
      <c r="I8" s="199"/>
      <c r="J8" s="72">
        <f ca="1">G21</f>
        <v>113458.05333616259</v>
      </c>
      <c r="K8" s="199" t="str">
        <f>"per ET ($"&amp;'General inputs'!$I$40&amp;")."</f>
        <v>per ET ($2024-25).</v>
      </c>
      <c r="L8" s="199"/>
      <c r="M8" s="199"/>
      <c r="N8" s="199"/>
      <c r="O8" s="199"/>
      <c r="P8" s="199"/>
      <c r="Q8" s="199"/>
    </row>
    <row r="9" spans="1:17">
      <c r="A9" s="199"/>
      <c r="B9" s="199"/>
      <c r="C9" s="199"/>
      <c r="D9" s="1" t="s">
        <v>59</v>
      </c>
      <c r="E9" s="199"/>
      <c r="F9" s="199"/>
      <c r="G9" s="199"/>
      <c r="H9" s="199"/>
      <c r="I9" s="199"/>
      <c r="J9" s="195">
        <v>21388.043324329774</v>
      </c>
      <c r="K9" s="127"/>
      <c r="L9" s="199"/>
      <c r="M9" s="199"/>
      <c r="N9" s="199"/>
      <c r="O9" s="199"/>
      <c r="P9" s="199"/>
      <c r="Q9" s="199"/>
    </row>
    <row r="10" spans="1:17">
      <c r="A10" s="199"/>
      <c r="B10" s="199"/>
      <c r="C10" s="199"/>
      <c r="D10" s="1" t="str">
        <f>"Final maximum price for the new development area '"&amp;'General inputs'!H7&amp;"' is:"</f>
        <v>Final maximum price for the new development area 'Scheme Name' is:</v>
      </c>
      <c r="E10" s="199"/>
      <c r="F10" s="199"/>
      <c r="G10" s="199"/>
      <c r="H10" s="199"/>
      <c r="I10" s="199"/>
      <c r="J10" s="72">
        <f ca="1">J8-J9</f>
        <v>92070.010011832812</v>
      </c>
      <c r="K10" s="199"/>
      <c r="L10" s="199"/>
      <c r="M10" s="199"/>
      <c r="N10" s="199"/>
      <c r="O10" s="199"/>
      <c r="P10" s="199"/>
      <c r="Q10" s="199"/>
    </row>
    <row r="12" spans="1:17">
      <c r="A12" s="109"/>
      <c r="B12" s="109"/>
      <c r="C12" s="1"/>
      <c r="D12" s="110" t="s">
        <v>60</v>
      </c>
      <c r="E12" s="1"/>
      <c r="F12" s="1"/>
      <c r="G12" s="1"/>
      <c r="H12" s="1"/>
      <c r="I12" s="199"/>
      <c r="J12" s="167">
        <f ca="1">IF($J$8&lt;=0,0,IF('General inputs'!$H$42='General inputs'!$L$37,'MP Calculations'!F22,IF('General inputs'!$H$42='General inputs'!$L$38,'MP Calculations'!F22*1000,'MP Calculations'!F22*1000000)))</f>
        <v>0</v>
      </c>
      <c r="K12" s="1" t="s">
        <v>61</v>
      </c>
      <c r="L12" s="1"/>
      <c r="M12" s="1"/>
      <c r="N12" s="199"/>
      <c r="O12" s="199"/>
      <c r="P12" s="199"/>
      <c r="Q12" s="199"/>
    </row>
    <row r="14" spans="1:17">
      <c r="A14" s="199"/>
      <c r="B14" s="199"/>
      <c r="C14" s="199"/>
      <c r="D14" s="199"/>
      <c r="E14" s="199"/>
      <c r="F14" s="199"/>
      <c r="G14" s="1"/>
      <c r="H14" s="199"/>
      <c r="I14" s="199"/>
      <c r="J14" s="199"/>
      <c r="K14" s="199"/>
      <c r="L14" s="199"/>
      <c r="M14" s="199"/>
      <c r="N14" s="199"/>
      <c r="O14" s="199"/>
      <c r="P14" s="199"/>
      <c r="Q14" s="199"/>
    </row>
    <row r="15" spans="1:17">
      <c r="A15" s="199"/>
      <c r="B15" s="199"/>
      <c r="C15" s="199"/>
      <c r="D15" s="110" t="s">
        <v>62</v>
      </c>
      <c r="E15" s="199"/>
      <c r="F15" s="199"/>
      <c r="G15" s="1"/>
      <c r="H15" s="199"/>
      <c r="I15" s="199"/>
      <c r="J15" s="199"/>
      <c r="K15" s="199"/>
      <c r="L15" s="199"/>
      <c r="M15" s="199"/>
      <c r="N15" s="199"/>
      <c r="O15" s="199"/>
      <c r="P15" s="199"/>
      <c r="Q15" s="199"/>
    </row>
    <row r="16" spans="1:17">
      <c r="A16" s="199"/>
      <c r="B16" s="199"/>
      <c r="C16" s="199"/>
      <c r="D16" s="199"/>
      <c r="E16" s="199"/>
      <c r="F16" s="199"/>
      <c r="G16" s="1"/>
      <c r="H16" s="199"/>
      <c r="I16" s="199"/>
      <c r="J16" s="199"/>
      <c r="K16" s="199"/>
      <c r="L16" s="199"/>
      <c r="M16" s="199"/>
      <c r="N16" s="199"/>
      <c r="O16" s="199"/>
      <c r="P16" s="199"/>
      <c r="Q16" s="199"/>
    </row>
    <row r="17" spans="4:21">
      <c r="D17" s="199"/>
      <c r="E17" s="199"/>
      <c r="F17" s="199"/>
      <c r="G17" s="1"/>
      <c r="H17" s="199"/>
      <c r="I17" s="199"/>
      <c r="J17" s="199"/>
      <c r="K17" s="199"/>
      <c r="L17" s="199"/>
      <c r="M17" s="199"/>
      <c r="N17" s="199"/>
      <c r="O17" s="199"/>
      <c r="P17" s="199"/>
      <c r="Q17" s="199"/>
      <c r="R17" s="199"/>
      <c r="S17" s="199"/>
      <c r="T17" s="199"/>
      <c r="U17" s="199"/>
    </row>
    <row r="19" spans="4:21">
      <c r="D19" s="199" t="str">
        <f>"in $, $"&amp;'General inputs'!$I$40&amp;", where:"</f>
        <v>in $, $2024-25, where:</v>
      </c>
      <c r="E19" s="199"/>
      <c r="F19" s="199"/>
      <c r="G19" s="199"/>
      <c r="H19" s="199"/>
      <c r="I19" s="199"/>
      <c r="J19" s="199"/>
      <c r="K19" s="199"/>
      <c r="L19" s="199"/>
      <c r="M19" s="199"/>
      <c r="N19" s="199"/>
      <c r="O19" s="199"/>
      <c r="P19" s="199"/>
      <c r="Q19" s="199"/>
      <c r="R19" s="199"/>
      <c r="S19" s="199"/>
      <c r="T19" s="199"/>
      <c r="U19" s="199"/>
    </row>
    <row r="21" spans="4:21">
      <c r="D21" s="199"/>
      <c r="E21" s="199" t="s">
        <v>63</v>
      </c>
      <c r="F21" s="37" t="s">
        <v>64</v>
      </c>
      <c r="G21" s="127">
        <f ca="1">IF('General inputs'!$H$42='General inputs'!$L$37,'MP Calculations'!C22,IF('General inputs'!$H$42='General inputs'!$L$38,'MP Calculations'!C22*1000,'MP Calculations'!C22*1000000))</f>
        <v>113458.05333616259</v>
      </c>
      <c r="H21" s="37" t="s">
        <v>64</v>
      </c>
      <c r="I21" s="181" t="s">
        <v>65</v>
      </c>
      <c r="J21" s="1"/>
      <c r="K21" s="1"/>
      <c r="L21" s="1"/>
      <c r="M21" s="1"/>
      <c r="N21" s="1"/>
      <c r="O21" s="1"/>
      <c r="P21" s="1"/>
      <c r="Q21" s="1"/>
      <c r="R21" s="1"/>
      <c r="S21" s="1"/>
      <c r="T21" s="1"/>
      <c r="U21" s="1"/>
    </row>
    <row r="22" spans="4:21" ht="13.5">
      <c r="D22" s="199"/>
      <c r="E22" s="199" t="s">
        <v>66</v>
      </c>
      <c r="F22" s="37" t="s">
        <v>64</v>
      </c>
      <c r="G22" s="127">
        <f>IF('General inputs'!$H$42='General inputs'!$L$37,'MP Calculations'!H20,IF('General inputs'!$H$42='General inputs'!$L$38,'MP Calculations'!H20*1000,'MP Calculations'!H20*1000000))</f>
        <v>0</v>
      </c>
      <c r="H22" s="37" t="s">
        <v>64</v>
      </c>
      <c r="I22" s="1" t="s">
        <v>67</v>
      </c>
      <c r="J22" s="1"/>
      <c r="K22" s="1"/>
      <c r="L22" s="1"/>
      <c r="M22" s="1"/>
      <c r="N22" s="1"/>
      <c r="O22" s="1"/>
      <c r="P22" s="1"/>
      <c r="Q22" s="1"/>
      <c r="R22" s="1"/>
      <c r="S22" s="1"/>
      <c r="T22" s="1"/>
      <c r="U22" s="1"/>
    </row>
    <row r="23" spans="4:21" ht="13.5">
      <c r="D23" s="199"/>
      <c r="E23" s="199" t="s">
        <v>68</v>
      </c>
      <c r="F23" s="37" t="s">
        <v>64</v>
      </c>
      <c r="G23" s="127">
        <f ca="1">IF('General inputs'!$H$42='General inputs'!$L$37,SUM('MP Calculations'!I20:K20),IF('General inputs'!$H$42='General inputs'!$L$38,SUM('MP Calculations'!I20:K20)*1000,SUM('MP Calculations'!I20:K20)*1000000))</f>
        <v>641305880.48107529</v>
      </c>
      <c r="H23" s="37" t="s">
        <v>64</v>
      </c>
      <c r="I23" s="1" t="s">
        <v>69</v>
      </c>
      <c r="J23" s="1"/>
      <c r="K23" s="1"/>
      <c r="L23" s="1"/>
      <c r="M23" s="1"/>
      <c r="N23" s="1"/>
      <c r="O23" s="1"/>
      <c r="P23" s="1"/>
      <c r="Q23" s="1"/>
      <c r="R23" s="1"/>
      <c r="S23" s="1"/>
      <c r="T23" s="1"/>
      <c r="U23" s="1"/>
    </row>
    <row r="24" spans="4:21" ht="13.5">
      <c r="D24" s="199"/>
      <c r="E24" s="199" t="s">
        <v>70</v>
      </c>
      <c r="F24" s="37" t="s">
        <v>64</v>
      </c>
      <c r="G24" s="71">
        <f>'MP Calculations'!H21</f>
        <v>7189.7586453201966</v>
      </c>
      <c r="H24" s="37" t="s">
        <v>64</v>
      </c>
      <c r="I24" s="179" t="s">
        <v>71</v>
      </c>
      <c r="J24" s="180"/>
      <c r="K24" s="180"/>
      <c r="L24" s="180"/>
      <c r="M24" s="180"/>
      <c r="N24" s="180"/>
      <c r="O24" s="180"/>
      <c r="P24" s="180"/>
      <c r="Q24" s="180"/>
      <c r="R24" s="180"/>
      <c r="S24" s="180"/>
      <c r="T24" s="180"/>
      <c r="U24" s="180"/>
    </row>
    <row r="25" spans="4:21" ht="13.5">
      <c r="D25" s="199"/>
      <c r="E25" s="199" t="s">
        <v>72</v>
      </c>
      <c r="F25" s="37" t="s">
        <v>64</v>
      </c>
      <c r="G25" s="71">
        <f>'MP Calculations'!J21</f>
        <v>6298.8453209206318</v>
      </c>
      <c r="H25" s="37" t="s">
        <v>64</v>
      </c>
      <c r="I25" s="179" t="s">
        <v>73</v>
      </c>
      <c r="J25" s="180"/>
      <c r="K25" s="180"/>
      <c r="L25" s="180"/>
      <c r="M25" s="180"/>
      <c r="N25" s="180"/>
      <c r="O25" s="180"/>
      <c r="P25" s="180"/>
      <c r="Q25" s="180"/>
      <c r="R25" s="180"/>
      <c r="S25" s="180"/>
      <c r="T25" s="180"/>
      <c r="U25" s="180"/>
    </row>
    <row r="26" spans="4:21" ht="13.5">
      <c r="D26" s="199"/>
      <c r="E26" s="199" t="s">
        <v>74</v>
      </c>
      <c r="F26" s="37" t="s">
        <v>64</v>
      </c>
      <c r="G26" s="71">
        <f>'MP Calculations'!L21</f>
        <v>6298.8453209206318</v>
      </c>
      <c r="H26" s="37" t="s">
        <v>64</v>
      </c>
      <c r="I26" s="179" t="s">
        <v>75</v>
      </c>
      <c r="J26" s="180"/>
      <c r="K26" s="180"/>
      <c r="L26" s="180"/>
      <c r="M26" s="180"/>
      <c r="N26" s="180"/>
      <c r="O26" s="180"/>
      <c r="P26" s="180"/>
      <c r="Q26" s="180"/>
      <c r="R26" s="180"/>
      <c r="S26" s="180"/>
      <c r="T26" s="180"/>
      <c r="U26" s="180"/>
    </row>
    <row r="27" spans="4:21" ht="13.5">
      <c r="D27" s="199"/>
      <c r="E27" s="199" t="s">
        <v>76</v>
      </c>
      <c r="F27" s="37" t="s">
        <v>64</v>
      </c>
      <c r="G27" s="127">
        <f>'MP Calculations'!R29</f>
        <v>63276300.678748541</v>
      </c>
      <c r="H27" s="37" t="s">
        <v>64</v>
      </c>
      <c r="I27" s="1" t="s">
        <v>77</v>
      </c>
      <c r="J27" s="1"/>
      <c r="K27" s="1"/>
      <c r="L27" s="1"/>
      <c r="M27" s="1"/>
      <c r="N27" s="1"/>
      <c r="O27" s="1"/>
      <c r="P27" s="1"/>
      <c r="Q27" s="1"/>
      <c r="R27" s="1"/>
      <c r="S27" s="1"/>
      <c r="T27" s="1"/>
      <c r="U27" s="1"/>
    </row>
    <row r="28" spans="4:21" ht="13.5">
      <c r="D28" s="199"/>
      <c r="E28" s="199" t="s">
        <v>78</v>
      </c>
      <c r="F28" s="37" t="s">
        <v>64</v>
      </c>
      <c r="G28" s="127">
        <f>'MP Calculations'!U29</f>
        <v>136625148.57492441</v>
      </c>
      <c r="H28" s="37" t="s">
        <v>64</v>
      </c>
      <c r="I28" s="1" t="s">
        <v>79</v>
      </c>
      <c r="J28" s="1"/>
      <c r="K28" s="1"/>
      <c r="L28" s="1"/>
      <c r="M28" s="1"/>
      <c r="N28" s="1"/>
      <c r="O28" s="1"/>
      <c r="P28" s="1"/>
      <c r="Q28" s="1"/>
      <c r="R28" s="1"/>
      <c r="S28" s="1"/>
      <c r="T28" s="1"/>
      <c r="U28" s="1"/>
    </row>
    <row r="29" spans="4:21">
      <c r="D29" s="199"/>
      <c r="E29" s="199" t="s">
        <v>80</v>
      </c>
      <c r="F29" s="37" t="s">
        <v>64</v>
      </c>
      <c r="G29" s="28" t="str">
        <f>INDEX('MP Calculations'!$D$39:$D$129,MATCH('General inputs'!$H$38-1,'MP Calculations'!C39:C129))</f>
        <v>2053-54</v>
      </c>
      <c r="H29" s="37" t="s">
        <v>64</v>
      </c>
      <c r="I29" s="1" t="s">
        <v>81</v>
      </c>
      <c r="J29" s="1"/>
      <c r="K29" s="1"/>
      <c r="L29" s="1"/>
      <c r="M29" s="1"/>
      <c r="N29" s="1"/>
      <c r="O29" s="1"/>
      <c r="P29" s="1"/>
      <c r="Q29" s="1"/>
      <c r="R29" s="1"/>
      <c r="S29" s="1"/>
      <c r="T29" s="1"/>
      <c r="U29" s="1"/>
    </row>
  </sheetData>
  <sheetProtection algorithmName="SHA-512" hashValue="tw2Il+EC5F/OY+zeNjvs1/rJp++PzBT113amfCqIDQrowx8+tJzpvM0t2zhbVDhJ/ywZ7XgdlkZyvXSsHgEAMQ==" saltValue="A5jRCSRW5Pedzawa2cOzzw==" spinCount="100000" sheet="1" objects="1" scenarios="1"/>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opLeftCell="E56" zoomScaleNormal="100" workbookViewId="0">
      <selection activeCell="C68" sqref="C68:C97"/>
    </sheetView>
  </sheetViews>
  <sheetFormatPr defaultRowHeight="12"/>
  <cols>
    <col min="1" max="2" width="2.7109375" customWidth="1"/>
    <col min="3" max="3" width="20.140625" customWidth="1"/>
    <col min="4" max="4" width="21.5703125" customWidth="1"/>
    <col min="5" max="5" width="28.28515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c r="A1" s="199" t="s">
        <v>82</v>
      </c>
      <c r="B1" s="199"/>
      <c r="C1" s="199"/>
      <c r="D1" s="199"/>
      <c r="E1" s="199"/>
      <c r="F1" s="199"/>
      <c r="G1" s="199"/>
      <c r="H1" s="199"/>
      <c r="I1" s="199"/>
      <c r="J1" s="199"/>
      <c r="K1" s="199"/>
    </row>
    <row r="3" spans="1:11" ht="20.25">
      <c r="A3" s="199"/>
      <c r="B3" s="199"/>
      <c r="C3" s="58" t="s">
        <v>83</v>
      </c>
      <c r="D3" s="199"/>
      <c r="E3" s="199"/>
      <c r="F3" s="199"/>
      <c r="G3" s="199"/>
      <c r="H3" s="199"/>
      <c r="I3" s="199"/>
      <c r="J3" s="199"/>
      <c r="K3" s="199"/>
    </row>
    <row r="6" spans="1:11" ht="15.75">
      <c r="A6" s="199"/>
      <c r="B6" s="199"/>
      <c r="C6" s="2" t="s">
        <v>84</v>
      </c>
      <c r="D6" s="199"/>
      <c r="E6" s="42"/>
      <c r="F6" s="199"/>
      <c r="G6" s="199"/>
      <c r="H6" s="199"/>
      <c r="I6" s="199"/>
      <c r="J6" s="199"/>
      <c r="K6" s="199"/>
    </row>
    <row r="7" spans="1:11">
      <c r="A7" s="199"/>
      <c r="B7" s="52"/>
      <c r="C7" s="41"/>
      <c r="D7" s="41"/>
      <c r="E7" s="41"/>
      <c r="F7" s="41"/>
      <c r="G7" s="41"/>
      <c r="H7" s="41"/>
      <c r="I7" s="41"/>
      <c r="J7" s="41"/>
      <c r="K7" s="53"/>
    </row>
    <row r="8" spans="1:11">
      <c r="A8" s="199"/>
      <c r="B8" s="54"/>
      <c r="C8" s="199"/>
      <c r="D8" s="199"/>
      <c r="E8" s="199"/>
      <c r="F8" s="199"/>
      <c r="G8" s="199"/>
      <c r="H8" s="199"/>
      <c r="I8" s="199"/>
      <c r="J8" s="28" t="s">
        <v>85</v>
      </c>
      <c r="K8" s="55"/>
    </row>
    <row r="9" spans="1:11">
      <c r="A9" s="60">
        <v>1</v>
      </c>
      <c r="B9" s="54"/>
      <c r="C9" s="199" t="str">
        <f>"Table "&amp;A9&amp;":  Calculation of maximum price ("&amp;'General inputs'!H42&amp;", $"&amp;'General inputs'!I40&amp;")"</f>
        <v>Table 1:  Calculation of maximum price ($, $2024-25)</v>
      </c>
      <c r="D9" s="199"/>
      <c r="E9" s="199"/>
      <c r="F9" s="199"/>
      <c r="G9" s="199"/>
      <c r="H9" s="199"/>
      <c r="I9" s="199"/>
      <c r="J9" s="199">
        <f>ROW(C17)</f>
        <v>17</v>
      </c>
      <c r="K9" s="55"/>
    </row>
    <row r="10" spans="1:11">
      <c r="A10" s="78">
        <f>A9+1</f>
        <v>2</v>
      </c>
      <c r="B10" s="54"/>
      <c r="C10" s="199" t="str">
        <f>"Table "&amp;A10&amp;":  Key variables used in maximum price calculation ("&amp;'General inputs'!H42&amp;", $"&amp;'General inputs'!I40&amp;")"</f>
        <v>Table 2:  Key variables used in maximum price calculation ($, $2024-25)</v>
      </c>
      <c r="D10" s="199"/>
      <c r="E10" s="199"/>
      <c r="F10" s="199"/>
      <c r="G10" s="199"/>
      <c r="H10" s="199"/>
      <c r="I10" s="199"/>
      <c r="J10" s="199">
        <f>ROW(C26)</f>
        <v>26</v>
      </c>
      <c r="K10" s="55"/>
    </row>
    <row r="11" spans="1:11">
      <c r="A11" s="78">
        <f>A10+1</f>
        <v>3</v>
      </c>
      <c r="B11" s="54"/>
      <c r="C11" s="199" t="str">
        <f>"Table "&amp;A11&amp;":  Annual calculation over analysis horizon ("&amp;'General inputs'!H42&amp;", $"&amp;'General inputs'!I40&amp;")"</f>
        <v>Table 3:  Annual calculation over analysis horizon ($, $2024-25)</v>
      </c>
      <c r="D11" s="199"/>
      <c r="E11" s="199"/>
      <c r="F11" s="199"/>
      <c r="G11" s="199"/>
      <c r="H11" s="199"/>
      <c r="I11" s="199"/>
      <c r="J11" s="199">
        <f>ROW(C35)</f>
        <v>35</v>
      </c>
      <c r="K11" s="55"/>
    </row>
    <row r="12" spans="1:11">
      <c r="A12" s="199"/>
      <c r="B12" s="56"/>
      <c r="C12" s="42"/>
      <c r="D12" s="42"/>
      <c r="E12" s="42"/>
      <c r="F12" s="42"/>
      <c r="G12" s="42"/>
      <c r="H12" s="42"/>
      <c r="I12" s="42"/>
      <c r="J12" s="42"/>
      <c r="K12" s="57"/>
    </row>
    <row r="13" spans="1:11">
      <c r="A13" s="199"/>
      <c r="B13" s="199"/>
      <c r="C13" s="199"/>
      <c r="D13" s="199"/>
      <c r="E13" s="41"/>
      <c r="F13" s="199"/>
      <c r="G13" s="199"/>
      <c r="H13" s="199"/>
      <c r="I13" s="199"/>
      <c r="J13" s="199"/>
      <c r="K13" s="199"/>
    </row>
    <row r="14" spans="1:11">
      <c r="A14" s="199"/>
      <c r="B14" s="131" t="str">
        <f>"Note:  an input is required in "&amp;ADDRESS(ROW($G$22),COLUMN($G$22))&amp;" to incorporate the Headwork costs per ET into the maximum price."</f>
        <v>Note:  an input is required in $G$22 to incorporate the Headwork costs per ET into the maximum price.</v>
      </c>
      <c r="C14" s="199"/>
      <c r="D14" s="199"/>
      <c r="E14" s="199"/>
      <c r="F14" s="199"/>
      <c r="G14" s="199"/>
      <c r="H14" s="199"/>
      <c r="I14" s="199"/>
      <c r="J14" s="199"/>
      <c r="K14" s="199"/>
    </row>
    <row r="15" spans="1:11">
      <c r="A15" s="199"/>
      <c r="B15" s="131" t="str">
        <f>"Note:  an input is required in "&amp;ADDRESS(ROW($F$22),COLUMN($F$22))&amp;" to incorporate the Scheme cost allocation per ET into the maximum price."</f>
        <v>Note:  an input is required in $F$22 to incorporate the Scheme cost allocation per ET into the maximum price.</v>
      </c>
      <c r="C15" s="199"/>
      <c r="D15" s="199"/>
      <c r="E15" s="199"/>
      <c r="F15" s="199"/>
      <c r="G15" s="199"/>
      <c r="H15" s="199"/>
      <c r="I15" s="199"/>
      <c r="J15" s="199"/>
      <c r="K15" s="199"/>
    </row>
    <row r="17" spans="2:22" ht="18">
      <c r="B17" s="199"/>
      <c r="C17" s="77" t="str">
        <f>C9</f>
        <v>Table 1:  Calculation of maximum price ($, $2024-25)</v>
      </c>
      <c r="D17" s="199"/>
      <c r="E17" s="42"/>
      <c r="F17" s="199"/>
      <c r="G17" s="199"/>
      <c r="H17" s="199"/>
      <c r="I17" s="199"/>
      <c r="J17" s="199"/>
      <c r="K17" s="199"/>
      <c r="L17" s="199"/>
      <c r="M17" s="199"/>
      <c r="N17" s="199"/>
      <c r="O17" s="199"/>
      <c r="P17" s="199"/>
      <c r="Q17" s="199"/>
      <c r="R17" s="199"/>
      <c r="S17" s="199"/>
      <c r="T17" s="199"/>
      <c r="U17" s="199"/>
      <c r="V17" s="199"/>
    </row>
    <row r="18" spans="2:22">
      <c r="B18" s="52"/>
      <c r="C18" s="145"/>
      <c r="D18" s="129"/>
      <c r="E18" s="129"/>
      <c r="F18" s="145"/>
      <c r="G18" s="145"/>
      <c r="H18" s="145"/>
      <c r="I18" s="129"/>
      <c r="J18" s="145"/>
      <c r="K18" s="145"/>
      <c r="L18" s="41"/>
      <c r="M18" s="53"/>
      <c r="N18" s="199"/>
      <c r="O18" s="199"/>
      <c r="P18" s="199"/>
      <c r="Q18" s="199"/>
      <c r="R18" s="199"/>
      <c r="S18" s="199"/>
      <c r="T18" s="199"/>
      <c r="U18" s="199"/>
      <c r="V18" s="199"/>
    </row>
    <row r="19" spans="2:22" ht="48">
      <c r="B19" s="54"/>
      <c r="C19" s="47" t="s">
        <v>86</v>
      </c>
      <c r="D19" s="199"/>
      <c r="E19" s="199"/>
      <c r="F19" s="152" t="s">
        <v>87</v>
      </c>
      <c r="G19" s="152" t="s">
        <v>88</v>
      </c>
      <c r="H19" s="151" t="s">
        <v>89</v>
      </c>
      <c r="I19" s="153"/>
      <c r="J19" s="151" t="s">
        <v>90</v>
      </c>
      <c r="K19" s="151" t="s">
        <v>91</v>
      </c>
      <c r="L19" s="151" t="s">
        <v>92</v>
      </c>
      <c r="M19" s="55"/>
      <c r="N19" s="199"/>
      <c r="O19" s="199"/>
      <c r="P19" s="199"/>
      <c r="Q19" s="199"/>
      <c r="R19" s="199"/>
      <c r="S19" s="199"/>
      <c r="T19" s="199"/>
      <c r="U19" s="199"/>
      <c r="V19" s="199"/>
    </row>
    <row r="20" spans="2:22">
      <c r="B20" s="54"/>
      <c r="C20" s="199"/>
      <c r="D20" s="199"/>
      <c r="E20" s="6" t="s">
        <v>93</v>
      </c>
      <c r="F20" s="199"/>
      <c r="G20" s="199"/>
      <c r="H20" s="154">
        <f>K29</f>
        <v>0</v>
      </c>
      <c r="I20" s="156"/>
      <c r="J20" s="157">
        <f ca="1">M29</f>
        <v>9864441.9571627602</v>
      </c>
      <c r="K20" s="157">
        <f>O29</f>
        <v>631441438.52391255</v>
      </c>
      <c r="L20" s="154">
        <f>R29-U29</f>
        <v>-73348847.896175861</v>
      </c>
      <c r="M20" s="55"/>
      <c r="N20" s="199"/>
      <c r="O20" s="199"/>
      <c r="P20" s="199"/>
      <c r="Q20" s="199"/>
      <c r="R20" s="199"/>
      <c r="S20" s="199"/>
      <c r="T20" s="199"/>
      <c r="U20" s="199"/>
      <c r="V20" s="199"/>
    </row>
    <row r="21" spans="2:22">
      <c r="B21" s="54"/>
      <c r="C21" s="199"/>
      <c r="D21" s="199"/>
      <c r="E21" s="6" t="s">
        <v>94</v>
      </c>
      <c r="F21" s="42"/>
      <c r="G21" s="199"/>
      <c r="H21" s="154">
        <f>F29</f>
        <v>7189.7586453201966</v>
      </c>
      <c r="I21" s="156"/>
      <c r="J21" s="157">
        <f>G29</f>
        <v>6298.8453209206318</v>
      </c>
      <c r="K21" s="157">
        <f>G29</f>
        <v>6298.8453209206318</v>
      </c>
      <c r="L21" s="154">
        <f>H29</f>
        <v>6298.8453209206318</v>
      </c>
      <c r="M21" s="55"/>
      <c r="N21" s="199"/>
      <c r="O21" s="199"/>
      <c r="P21" s="199"/>
      <c r="Q21" s="199"/>
      <c r="R21" s="199"/>
      <c r="S21" s="199"/>
      <c r="T21" s="199"/>
      <c r="U21" s="199"/>
      <c r="V21" s="199"/>
    </row>
    <row r="22" spans="2:22" ht="12" customHeight="1">
      <c r="B22" s="54"/>
      <c r="C22" s="79">
        <f ca="1">IF(SUM(F22:K22,-L22)&lt;0,0,SUM(F22:K22,-L22))</f>
        <v>113458.05333616259</v>
      </c>
      <c r="D22" s="199"/>
      <c r="E22" s="6" t="s">
        <v>95</v>
      </c>
      <c r="F22" s="155">
        <v>0</v>
      </c>
      <c r="G22" s="155">
        <v>0</v>
      </c>
      <c r="H22" s="82">
        <f>H20/H21</f>
        <v>0</v>
      </c>
      <c r="I22" s="159"/>
      <c r="J22" s="158">
        <f ca="1">J20/J21</f>
        <v>1566.0714709725535</v>
      </c>
      <c r="K22" s="158">
        <f>K20/K21</f>
        <v>100247.17330757089</v>
      </c>
      <c r="L22" s="82">
        <f>L20/L21</f>
        <v>-11644.808557619142</v>
      </c>
      <c r="M22" s="55"/>
      <c r="N22" s="199"/>
      <c r="O22" s="199"/>
      <c r="P22" s="199"/>
      <c r="Q22" s="199"/>
      <c r="R22" s="199"/>
      <c r="S22" s="199"/>
      <c r="T22" s="199"/>
      <c r="U22" s="199"/>
      <c r="V22" s="199"/>
    </row>
    <row r="23" spans="2:22">
      <c r="B23" s="56"/>
      <c r="C23" s="59"/>
      <c r="D23" s="42"/>
      <c r="E23" s="42"/>
      <c r="F23" s="42"/>
      <c r="G23" s="42"/>
      <c r="H23" s="42"/>
      <c r="I23" s="42"/>
      <c r="J23" s="42"/>
      <c r="K23" s="42"/>
      <c r="L23" s="42"/>
      <c r="M23" s="57"/>
      <c r="N23" s="199"/>
      <c r="O23" s="199"/>
      <c r="P23" s="199"/>
      <c r="Q23" s="199"/>
      <c r="R23" s="199"/>
      <c r="S23" s="199"/>
      <c r="T23" s="199"/>
      <c r="U23" s="199"/>
      <c r="V23" s="199"/>
    </row>
    <row r="24" spans="2:22">
      <c r="B24" s="199"/>
      <c r="C24" s="199"/>
      <c r="D24" s="199"/>
      <c r="E24" s="41"/>
      <c r="F24" s="199"/>
      <c r="G24" s="199"/>
      <c r="H24" s="199"/>
      <c r="I24" s="199"/>
      <c r="J24" s="199"/>
      <c r="K24" s="199"/>
      <c r="L24" s="199"/>
      <c r="M24" s="199"/>
      <c r="N24" s="199"/>
      <c r="O24" s="199"/>
      <c r="P24" s="199"/>
      <c r="Q24" s="199"/>
      <c r="R24" s="199"/>
      <c r="S24" s="199"/>
      <c r="T24" s="199"/>
      <c r="U24" s="199"/>
      <c r="V24" s="199"/>
    </row>
    <row r="25" spans="2:22">
      <c r="B25" s="199"/>
      <c r="C25" s="198"/>
      <c r="D25" s="51"/>
      <c r="E25" s="199"/>
      <c r="F25" s="199"/>
      <c r="G25" s="199"/>
      <c r="H25" s="199"/>
      <c r="I25" s="199"/>
      <c r="J25" s="199"/>
      <c r="K25" s="199"/>
      <c r="L25" s="199"/>
      <c r="M25" s="199"/>
      <c r="N25" s="199"/>
      <c r="O25" s="199"/>
      <c r="P25" s="199"/>
      <c r="Q25" s="199"/>
      <c r="R25" s="199"/>
      <c r="S25" s="199"/>
      <c r="T25" s="199"/>
      <c r="U25" s="199"/>
      <c r="V25" s="199"/>
    </row>
    <row r="26" spans="2:22" ht="18">
      <c r="B26" s="199"/>
      <c r="C26" s="77" t="str">
        <f>C10</f>
        <v>Table 2:  Key variables used in maximum price calculation ($, $2024-25)</v>
      </c>
      <c r="D26" s="51"/>
      <c r="E26" s="199"/>
      <c r="F26" s="199"/>
      <c r="G26" s="199"/>
      <c r="H26" s="199"/>
      <c r="I26" s="199"/>
      <c r="J26" s="199"/>
      <c r="K26" s="199"/>
      <c r="L26" s="199"/>
      <c r="M26" s="199"/>
      <c r="N26" s="199"/>
      <c r="O26" s="199"/>
      <c r="P26" s="199"/>
      <c r="Q26" s="199"/>
      <c r="R26" s="199"/>
      <c r="S26" s="199"/>
      <c r="T26" s="199"/>
      <c r="U26" s="199"/>
      <c r="V26" s="199"/>
    </row>
    <row r="27" spans="2:22" ht="18">
      <c r="B27" s="52"/>
      <c r="C27" s="80"/>
      <c r="D27" s="81"/>
      <c r="E27" s="41"/>
      <c r="F27" s="41"/>
      <c r="G27" s="41"/>
      <c r="H27" s="41"/>
      <c r="I27" s="41"/>
      <c r="J27" s="41"/>
      <c r="K27" s="41"/>
      <c r="L27" s="41"/>
      <c r="M27" s="41"/>
      <c r="N27" s="41"/>
      <c r="O27" s="41"/>
      <c r="P27" s="41"/>
      <c r="Q27" s="41"/>
      <c r="R27" s="41"/>
      <c r="S27" s="41"/>
      <c r="T27" s="41"/>
      <c r="U27" s="41"/>
      <c r="V27" s="53"/>
    </row>
    <row r="28" spans="2:22" ht="96">
      <c r="B28" s="54"/>
      <c r="C28" s="199"/>
      <c r="D28" s="199"/>
      <c r="E28" s="160" t="s">
        <v>96</v>
      </c>
      <c r="F28" s="160" t="s">
        <v>97</v>
      </c>
      <c r="G28" s="160" t="s">
        <v>98</v>
      </c>
      <c r="H28" s="160" t="s">
        <v>99</v>
      </c>
      <c r="I28" s="161"/>
      <c r="J28" s="161"/>
      <c r="K28" s="160" t="s">
        <v>100</v>
      </c>
      <c r="L28" s="161"/>
      <c r="M28" s="160" t="s">
        <v>101</v>
      </c>
      <c r="N28" s="161"/>
      <c r="O28" s="160" t="s">
        <v>102</v>
      </c>
      <c r="P28" s="161"/>
      <c r="Q28" s="161"/>
      <c r="R28" s="160" t="s">
        <v>103</v>
      </c>
      <c r="S28" s="199"/>
      <c r="T28" s="199"/>
      <c r="U28" s="160" t="s">
        <v>104</v>
      </c>
      <c r="V28" s="55"/>
    </row>
    <row r="29" spans="2:22">
      <c r="B29" s="54"/>
      <c r="C29" s="199"/>
      <c r="D29" s="199"/>
      <c r="E29" s="143">
        <f>SUM(E39:E129)</f>
        <v>7189.7586453201966</v>
      </c>
      <c r="F29" s="82">
        <f t="shared" ref="F29:H29" si="0">SUM(F39:F129)</f>
        <v>7189.7586453201966</v>
      </c>
      <c r="G29" s="82">
        <f t="shared" si="0"/>
        <v>6298.8453209206318</v>
      </c>
      <c r="H29" s="79">
        <f t="shared" si="0"/>
        <v>6298.8453209206318</v>
      </c>
      <c r="I29" s="199"/>
      <c r="J29" s="199"/>
      <c r="K29" s="82">
        <f>K39</f>
        <v>0</v>
      </c>
      <c r="L29" s="199"/>
      <c r="M29" s="82">
        <f ca="1">SUM(M39:M129)</f>
        <v>9864441.9571627602</v>
      </c>
      <c r="N29" s="199"/>
      <c r="O29" s="82">
        <f>SUM(O39:O129)</f>
        <v>631441438.52391255</v>
      </c>
      <c r="P29" s="199"/>
      <c r="Q29" s="199"/>
      <c r="R29" s="82">
        <f>SUM(R39:R129)</f>
        <v>63276300.678748541</v>
      </c>
      <c r="S29" s="199"/>
      <c r="T29" s="199"/>
      <c r="U29" s="82">
        <f>SUM(U39:U129)</f>
        <v>136625148.57492441</v>
      </c>
      <c r="V29" s="55"/>
    </row>
    <row r="30" spans="2:22">
      <c r="B30" s="56"/>
      <c r="C30" s="42"/>
      <c r="D30" s="42"/>
      <c r="E30" s="42"/>
      <c r="F30" s="42"/>
      <c r="G30" s="42"/>
      <c r="H30" s="42"/>
      <c r="I30" s="42"/>
      <c r="J30" s="42"/>
      <c r="K30" s="42"/>
      <c r="L30" s="42"/>
      <c r="M30" s="42"/>
      <c r="N30" s="42"/>
      <c r="O30" s="42"/>
      <c r="P30" s="42"/>
      <c r="Q30" s="42"/>
      <c r="R30" s="42"/>
      <c r="S30" s="42"/>
      <c r="T30" s="42"/>
      <c r="U30" s="42"/>
      <c r="V30" s="57"/>
    </row>
    <row r="33" spans="2:27">
      <c r="B33" s="131" t="str">
        <f>"Note:  inputs are required in "&amp;'Reduction amount'!D17&amp;" and "&amp;'Reduction amount'!D18&amp;" to calculate the 'Reduction amount'."</f>
        <v>Note:  inputs are required in $Q$68:$Q$97 and $T$68:$T$97 to calculate the 'Reduction amount'.</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row>
    <row r="35" spans="2:27" ht="18">
      <c r="B35" s="199"/>
      <c r="C35" s="77" t="str">
        <f>C11</f>
        <v>Table 3:  Annual calculation over analysis horizon ($, $2024-25)</v>
      </c>
      <c r="D35" s="146"/>
      <c r="E35" s="146"/>
      <c r="F35" s="146"/>
      <c r="G35" s="146"/>
      <c r="H35" s="146"/>
      <c r="I35" s="146"/>
      <c r="J35" s="146"/>
      <c r="K35" s="146"/>
      <c r="L35" s="146"/>
      <c r="M35" s="146"/>
      <c r="N35" s="146"/>
      <c r="O35" s="146"/>
      <c r="P35" s="1"/>
      <c r="Q35" s="146"/>
      <c r="R35" s="146"/>
      <c r="S35" s="1"/>
      <c r="T35" s="146"/>
      <c r="U35" s="146"/>
      <c r="V35" s="199"/>
      <c r="W35" s="199"/>
      <c r="X35" s="199"/>
      <c r="Y35" s="199"/>
      <c r="Z35" s="199"/>
      <c r="AA35" s="199"/>
    </row>
    <row r="36" spans="2:27" ht="18">
      <c r="B36" s="52"/>
      <c r="C36" s="80"/>
      <c r="D36" s="145"/>
      <c r="E36" s="145"/>
      <c r="F36" s="145"/>
      <c r="G36" s="145"/>
      <c r="H36" s="145"/>
      <c r="I36" s="145"/>
      <c r="J36" s="145"/>
      <c r="K36" s="41"/>
      <c r="L36" s="145"/>
      <c r="M36" s="41"/>
      <c r="N36" s="41"/>
      <c r="O36" s="41"/>
      <c r="P36" s="41"/>
      <c r="Q36" s="147" t="str">
        <f>IF(COUNT(Q39:Q129)&lt;&gt;'General inputs'!H38,"Data required in input range "&amp;'Reduction amount'!D17,"OK")</f>
        <v>OK</v>
      </c>
      <c r="R36" s="129"/>
      <c r="S36" s="41"/>
      <c r="T36" s="147" t="str">
        <f>IF(COUNT(T39:T129)&lt;&gt;'General inputs'!H38,"Data required in input range "&amp;'Reduction amount'!D18,"OK")</f>
        <v>OK</v>
      </c>
      <c r="U36" s="41"/>
      <c r="V36" s="53"/>
      <c r="W36" s="199"/>
      <c r="X36" s="199"/>
      <c r="Y36" s="199"/>
      <c r="Z36" s="199"/>
      <c r="AA36" s="199"/>
    </row>
    <row r="37" spans="2:27" ht="18">
      <c r="B37" s="54"/>
      <c r="C37" s="77"/>
      <c r="D37" s="146"/>
      <c r="E37" s="149" t="s">
        <v>105</v>
      </c>
      <c r="F37" s="146"/>
      <c r="G37" s="146"/>
      <c r="H37" s="146"/>
      <c r="I37" s="146"/>
      <c r="J37" s="149" t="s">
        <v>106</v>
      </c>
      <c r="K37" s="199"/>
      <c r="L37" s="146"/>
      <c r="M37" s="199"/>
      <c r="N37" s="199"/>
      <c r="O37" s="199"/>
      <c r="P37" s="199"/>
      <c r="Q37" s="149" t="s">
        <v>107</v>
      </c>
      <c r="R37" s="130"/>
      <c r="S37" s="199"/>
      <c r="T37" s="149" t="s">
        <v>108</v>
      </c>
      <c r="U37" s="199"/>
      <c r="V37" s="55"/>
      <c r="W37" s="199"/>
      <c r="X37" s="199"/>
      <c r="Y37" s="199"/>
      <c r="Z37" s="199"/>
      <c r="AA37" s="199"/>
    </row>
    <row r="38" spans="2:27" ht="84.75">
      <c r="B38" s="54"/>
      <c r="C38" s="77"/>
      <c r="D38" s="168" t="s">
        <v>109</v>
      </c>
      <c r="E38" s="148" t="s">
        <v>110</v>
      </c>
      <c r="F38" s="148" t="s">
        <v>111</v>
      </c>
      <c r="G38" s="148" t="s">
        <v>112</v>
      </c>
      <c r="H38" s="24" t="s">
        <v>113</v>
      </c>
      <c r="I38" s="37"/>
      <c r="J38" s="24" t="s">
        <v>114</v>
      </c>
      <c r="K38" s="148" t="s">
        <v>115</v>
      </c>
      <c r="L38" s="24" t="s">
        <v>116</v>
      </c>
      <c r="M38" s="24" t="s">
        <v>117</v>
      </c>
      <c r="N38" s="24" t="s">
        <v>118</v>
      </c>
      <c r="O38" s="24" t="s">
        <v>119</v>
      </c>
      <c r="P38" s="37"/>
      <c r="Q38" s="24" t="s">
        <v>120</v>
      </c>
      <c r="R38" s="24" t="s">
        <v>121</v>
      </c>
      <c r="S38" s="150"/>
      <c r="T38" s="24" t="s">
        <v>122</v>
      </c>
      <c r="U38" s="24" t="s">
        <v>123</v>
      </c>
      <c r="V38" s="55"/>
      <c r="W38" s="199"/>
      <c r="X38" s="199"/>
      <c r="Y38" s="199"/>
      <c r="Z38" s="199"/>
      <c r="AA38" s="199"/>
    </row>
    <row r="39" spans="2:27" ht="12.75" thickBot="1">
      <c r="B39" s="54"/>
      <c r="C39" s="28">
        <f>IF(D39='General inputs'!$I$16,0,IF(D39&lt;'General inputs'!$I$16,C40-1,C38+1))</f>
        <v>-29</v>
      </c>
      <c r="D39" s="169" t="str">
        <f>RIGHT(YEAR('General inputs'!$H$24),4)&amp;"-"&amp;RIGHT(YEAR('General inputs'!H24),2)+1</f>
        <v>1995-96</v>
      </c>
      <c r="E39" s="84">
        <f>IF(LEFT(D39,4)*1&gt;LEFT('General inputs'!$I$16,4)+'General inputs'!$H$38-1,"",'ET inputs'!D12)</f>
        <v>0</v>
      </c>
      <c r="F39" s="84">
        <f>IF(LEFT(D39,4)*1&gt;LEFT('General inputs'!$I$16,4)+'General inputs'!$H$38-1,"",E39/(1+'General inputs'!$H$30)^C39)</f>
        <v>0</v>
      </c>
      <c r="G39" s="84">
        <f>IF(LEFT(D39,4)*1&gt;LEFT('General inputs'!$I$16,4)+'General inputs'!$H$38-1,"",E39/(1+'General inputs'!$H$32)^C39)</f>
        <v>0</v>
      </c>
      <c r="H39" s="83" t="str">
        <f>IF(LEFT(D39,4)*1&lt;LEFT('General inputs'!$I$16,4)*1,"",IF(LEFT(D39,4)*1&gt;LEFT('General inputs'!$I$16,4)+'General inputs'!$H$38-1,"",E39/(1+'General inputs'!$H$34)^C39))</f>
        <v/>
      </c>
      <c r="I39" s="199"/>
      <c r="J39" s="84">
        <f>'Pre-1996 assets'!P219</f>
        <v>0</v>
      </c>
      <c r="K39" s="84">
        <f>J39/(1+'General inputs'!$H$30)^C39</f>
        <v>0</v>
      </c>
      <c r="L39" s="170">
        <f>IF(LEFT(D39,4)*1&gt;LEFT('General inputs'!$I$18,4)*1,"",SUMIF('Post-1996 commissioned assets'!$F$22:$F$218,$D39,'Post-1996 commissioned assets'!$P$22:$P$218))</f>
        <v>0</v>
      </c>
      <c r="M39" s="170">
        <f>IF(L39="","",L39/(1+'General inputs'!$H$32)^C39)</f>
        <v>0</v>
      </c>
      <c r="N39" s="84" t="str">
        <f>IF(LEFT(D39,4)*1&lt;LEFT('General inputs'!$I$18,4)*1+1,"",SUMIF('Uncommissioned assets'!$F$22:$F$495,$D39,'Uncommissioned assets'!$P$22:$P$495))</f>
        <v/>
      </c>
      <c r="O39" s="84" t="str">
        <f>IF(N39="","",N39/(1+'General inputs'!$H$32)^C39)</f>
        <v/>
      </c>
      <c r="P39" s="199"/>
      <c r="Q39" s="39"/>
      <c r="R39" s="83" t="str">
        <f>IF(OR(LEFT(D39,4)*1&lt;LEFT('General inputs'!$I$16,4)*1,LEFT(D39,4)*1&gt;LEFT('General inputs'!$I$16,4)+'General inputs'!$H$38-1),"",Q39/(1+'General inputs'!$H$34)^C39)</f>
        <v/>
      </c>
      <c r="S39" s="199"/>
      <c r="T39" s="39"/>
      <c r="U39" s="83" t="str">
        <f>IF(OR(LEFT(D39,4)*1&lt;LEFT('General inputs'!$I$16,4)*1,LEFT(D39,4)*1&gt;LEFT('General inputs'!$I$16,4)+'General inputs'!$H$38-1),"",T39/(1+'General inputs'!$H$34)^C39)</f>
        <v/>
      </c>
      <c r="V39" s="55"/>
      <c r="W39" s="199"/>
      <c r="X39" s="50"/>
      <c r="Y39" s="50"/>
      <c r="Z39" s="50"/>
      <c r="AA39" s="50"/>
    </row>
    <row r="40" spans="2:27" ht="12.75" thickTop="1">
      <c r="B40" s="54"/>
      <c r="C40" s="28">
        <f>IF(D40='General inputs'!$I$16,0,IF(D40&lt;'General inputs'!$I$16,C41-1,C39+1))</f>
        <v>-28</v>
      </c>
      <c r="D40" s="28" t="str">
        <f>LEFT(D39,4)+1&amp;"-"&amp;RIGHT(D39,2)+1</f>
        <v>1996-97</v>
      </c>
      <c r="E40" s="83">
        <f>IF(LEFT(D40,4)*1&gt;LEFT('General inputs'!$I$16,4)+'General inputs'!$H$38-1,"",'ET inputs'!D13)</f>
        <v>0</v>
      </c>
      <c r="F40" s="83">
        <f>IF(LEFT(D40,4)*1&gt;LEFT('General inputs'!$I$16,4)+'General inputs'!$H$38-1,"",E40/(1+'General inputs'!$H$30)^C40)</f>
        <v>0</v>
      </c>
      <c r="G40" s="83">
        <f>IF(LEFT(D40,4)*1&gt;LEFT('General inputs'!$I$16,4)+'General inputs'!$H$38-1,"",E40/(1+'General inputs'!$H$32)^C40)</f>
        <v>0</v>
      </c>
      <c r="H40" s="83" t="str">
        <f>IF(LEFT(D40,4)*1&lt;LEFT('General inputs'!$I$16,4)*1,"",IF(LEFT(D40,4)*1&gt;LEFT('General inputs'!$I$16,4)+'General inputs'!$H$38-1,"",E40/(1+'General inputs'!$H$34)^C40))</f>
        <v/>
      </c>
      <c r="I40" s="199"/>
      <c r="J40" s="113"/>
      <c r="K40" s="113"/>
      <c r="L40" s="83">
        <f>IF(LEFT(D40,4)*1&gt;LEFT('General inputs'!$I$18,4)*1,"",SUMIF('Post-1996 commissioned assets'!$F$22:$F$218,$D40,'Post-1996 commissioned assets'!$P$22:$P$218))</f>
        <v>0</v>
      </c>
      <c r="M40" s="83">
        <f>IF(L40="","",L40/(1+'General inputs'!$H$32)^C40)</f>
        <v>0</v>
      </c>
      <c r="N40" s="83" t="str">
        <f>IF(LEFT(D40,4)*1&lt;LEFT('General inputs'!$I$18,4)*1+1,"",SUMIF('Uncommissioned assets'!$F$22:$F$495,$D40,'Uncommissioned assets'!$P$22:$P$495))</f>
        <v/>
      </c>
      <c r="O40" s="83" t="str">
        <f>IF(N40="","",N40/(1+'General inputs'!$H$32)^C40)</f>
        <v/>
      </c>
      <c r="P40" s="199"/>
      <c r="Q40" s="39"/>
      <c r="R40" s="83" t="str">
        <f>IF(OR(LEFT(D40,4)*1&lt;LEFT('General inputs'!$I$16,4)*1,LEFT(D40,4)*1&gt;LEFT('General inputs'!$I$16,4)+'General inputs'!$H$38-1),"",Q40/(1+'General inputs'!$H$34)^C40)</f>
        <v/>
      </c>
      <c r="S40" s="199"/>
      <c r="T40" s="39"/>
      <c r="U40" s="83" t="str">
        <f>IF(OR(LEFT(D40,4)*1&lt;LEFT('General inputs'!$I$16,4)*1,LEFT(D40,4)*1&gt;LEFT('General inputs'!$I$16,4)+'General inputs'!$H$38-1),"",T40/(1+'General inputs'!$H$34)^C40)</f>
        <v/>
      </c>
      <c r="V40" s="55"/>
      <c r="W40" s="199"/>
      <c r="X40" s="199"/>
      <c r="Y40" s="199"/>
      <c r="Z40" s="199"/>
      <c r="AA40" s="199"/>
    </row>
    <row r="41" spans="2:27">
      <c r="B41" s="54"/>
      <c r="C41" s="28">
        <f>IF(D41='General inputs'!$I$16,0,IF(D41&lt;'General inputs'!$I$16,C42-1,C40+1))</f>
        <v>-27</v>
      </c>
      <c r="D41" s="28" t="str">
        <f t="shared" ref="D41:D99" si="1">LEFT(D40,4)+1&amp;"-"&amp;RIGHT(D40,2)+1</f>
        <v>1997-98</v>
      </c>
      <c r="E41" s="83">
        <f>IF(LEFT(D41,4)*1&gt;LEFT('General inputs'!$I$16,4)+'General inputs'!$H$38-1,"",'ET inputs'!D14)</f>
        <v>0</v>
      </c>
      <c r="F41" s="83">
        <f>IF(LEFT(D41,4)*1&gt;LEFT('General inputs'!$I$16,4)+'General inputs'!$H$38-1,"",E41/(1+'General inputs'!$H$30)^C41)</f>
        <v>0</v>
      </c>
      <c r="G41" s="83">
        <f>IF(LEFT(D41,4)*1&gt;LEFT('General inputs'!$I$16,4)+'General inputs'!$H$38-1,"",E41/(1+'General inputs'!$H$32)^C41)</f>
        <v>0</v>
      </c>
      <c r="H41" s="83" t="str">
        <f>IF(LEFT(D41,4)*1&lt;LEFT('General inputs'!$I$16,4)*1,"",IF(LEFT(D41,4)*1&gt;LEFT('General inputs'!$I$16,4)+'General inputs'!$H$38-1,"",E41/(1+'General inputs'!$H$34)^C41))</f>
        <v/>
      </c>
      <c r="I41" s="199"/>
      <c r="J41" s="113"/>
      <c r="K41" s="113"/>
      <c r="L41" s="83">
        <f>IF(LEFT(D41,4)*1&gt;LEFT('General inputs'!$I$18,4)*1,"",SUMIF('Post-1996 commissioned assets'!$F$22:$F$218,$D41,'Post-1996 commissioned assets'!$P$22:$P$218))</f>
        <v>0</v>
      </c>
      <c r="M41" s="83">
        <f>IF(L41="","",L41/(1+'General inputs'!$H$32)^C41)</f>
        <v>0</v>
      </c>
      <c r="N41" s="83" t="str">
        <f>IF(LEFT(D41,4)*1&lt;LEFT('General inputs'!$I$18,4)*1+1,"",SUMIF('Uncommissioned assets'!$F$22:$F$495,$D41,'Uncommissioned assets'!$P$22:$P$495))</f>
        <v/>
      </c>
      <c r="O41" s="83" t="str">
        <f>IF(N41="","",N41/(1+'General inputs'!$H$32)^C41)</f>
        <v/>
      </c>
      <c r="P41" s="199"/>
      <c r="Q41" s="39"/>
      <c r="R41" s="83" t="str">
        <f>IF(OR(LEFT(D41,4)*1&lt;LEFT('General inputs'!$I$16,4)*1,LEFT(D41,4)*1&gt;LEFT('General inputs'!$I$16,4)+'General inputs'!$H$38-1),"",Q41/(1+'General inputs'!$H$34)^C41)</f>
        <v/>
      </c>
      <c r="S41" s="199"/>
      <c r="T41" s="39"/>
      <c r="U41" s="83" t="str">
        <f>IF(OR(LEFT(D41,4)*1&lt;LEFT('General inputs'!$I$16,4)*1,LEFT(D41,4)*1&gt;LEFT('General inputs'!$I$16,4)+'General inputs'!$H$38-1),"",T41/(1+'General inputs'!$H$34)^C41)</f>
        <v/>
      </c>
      <c r="V41" s="55"/>
      <c r="W41" s="199"/>
      <c r="X41" s="38"/>
      <c r="Y41" s="38"/>
      <c r="Z41" s="38"/>
      <c r="AA41" s="199"/>
    </row>
    <row r="42" spans="2:27" ht="12.75" thickBot="1">
      <c r="B42" s="54"/>
      <c r="C42" s="28">
        <f>IF(D42='General inputs'!$I$16,0,IF(D42&lt;'General inputs'!$I$16,C43-1,C41+1))</f>
        <v>-26</v>
      </c>
      <c r="D42" s="85" t="str">
        <f t="shared" si="1"/>
        <v>1998-99</v>
      </c>
      <c r="E42" s="83">
        <f>IF(LEFT(D42,4)*1&gt;LEFT('General inputs'!$I$16,4)+'General inputs'!$H$38-1,"",'ET inputs'!D15)</f>
        <v>0</v>
      </c>
      <c r="F42" s="83">
        <f>IF(LEFT(D42,4)*1&gt;LEFT('General inputs'!$I$16,4)+'General inputs'!$H$38-1,"",E42/(1+'General inputs'!$H$30)^C42)</f>
        <v>0</v>
      </c>
      <c r="G42" s="83">
        <f>IF(LEFT(D42,4)*1&gt;LEFT('General inputs'!$I$16,4)+'General inputs'!$H$38-1,"",E42/(1+'General inputs'!$H$32)^C42)</f>
        <v>0</v>
      </c>
      <c r="H42" s="83" t="str">
        <f>IF(LEFT(D42,4)*1&lt;LEFT('General inputs'!$I$16,4)*1,"",IF(LEFT(D42,4)*1&gt;LEFT('General inputs'!$I$16,4)+'General inputs'!$H$38-1,"",E42/(1+'General inputs'!$H$34)^C42))</f>
        <v/>
      </c>
      <c r="I42" s="199"/>
      <c r="J42" s="113"/>
      <c r="K42" s="113"/>
      <c r="L42" s="83">
        <f>IF(LEFT(D42,4)*1&gt;LEFT('General inputs'!$I$18,4)*1,"",SUMIF('Post-1996 commissioned assets'!$F$22:$F$218,$D42,'Post-1996 commissioned assets'!$P$22:$P$218))</f>
        <v>0</v>
      </c>
      <c r="M42" s="83">
        <f>IF(L42="","",L42/(1+'General inputs'!$H$32)^C42)</f>
        <v>0</v>
      </c>
      <c r="N42" s="83" t="str">
        <f>IF(LEFT(D42,4)*1&lt;LEFT('General inputs'!$I$18,4)*1+1,"",SUMIF('Uncommissioned assets'!$F$22:$F$495,$D42,'Uncommissioned assets'!$P$22:$P$495))</f>
        <v/>
      </c>
      <c r="O42" s="83" t="str">
        <f>IF(N42="","",N42/(1+'General inputs'!$H$32)^C42)</f>
        <v/>
      </c>
      <c r="P42" s="199"/>
      <c r="Q42" s="39"/>
      <c r="R42" s="83" t="str">
        <f>IF(OR(LEFT(D42,4)*1&lt;LEFT('General inputs'!$I$16,4)*1,LEFT(D42,4)*1&gt;LEFT('General inputs'!$I$16,4)+'General inputs'!$H$38-1),"",Q42/(1+'General inputs'!$H$34)^C42)</f>
        <v/>
      </c>
      <c r="S42" s="199"/>
      <c r="T42" s="39"/>
      <c r="U42" s="83" t="str">
        <f>IF(OR(LEFT(D42,4)*1&lt;LEFT('General inputs'!$I$16,4)*1,LEFT(D42,4)*1&gt;LEFT('General inputs'!$I$16,4)+'General inputs'!$H$38-1),"",T42/(1+'General inputs'!$H$34)^C42)</f>
        <v/>
      </c>
      <c r="V42" s="55"/>
      <c r="W42" s="199"/>
      <c r="X42" s="38"/>
      <c r="Y42" s="38"/>
      <c r="Z42" s="38"/>
      <c r="AA42" s="199"/>
    </row>
    <row r="43" spans="2:27" ht="13.5" thickTop="1" thickBot="1">
      <c r="B43" s="54"/>
      <c r="C43" s="28">
        <f>IF(D43='General inputs'!$I$16,0,IF(D43&lt;'General inputs'!$I$16,C44-1,C42+1))</f>
        <v>-25</v>
      </c>
      <c r="D43" s="86" t="str">
        <f>LEFT(D42,4)+1&amp;"-00"</f>
        <v>1999-00</v>
      </c>
      <c r="E43" s="83">
        <f>IF(LEFT(D43,4)*1&gt;LEFT('General inputs'!$I$16,4)+'General inputs'!$H$38-1,"",'ET inputs'!D16)</f>
        <v>0</v>
      </c>
      <c r="F43" s="83">
        <f>IF(LEFT(D43,4)*1&gt;LEFT('General inputs'!$I$16,4)+'General inputs'!$H$38-1,"",E43/(1+'General inputs'!$H$30)^C43)</f>
        <v>0</v>
      </c>
      <c r="G43" s="83">
        <f>IF(LEFT(D43,4)*1&gt;LEFT('General inputs'!$I$16,4)+'General inputs'!$H$38-1,"",E43/(1+'General inputs'!$H$32)^C43)</f>
        <v>0</v>
      </c>
      <c r="H43" s="83" t="str">
        <f>IF(LEFT(D43,4)*1&lt;LEFT('General inputs'!$I$16,4)*1,"",IF(LEFT(D43,4)*1&gt;LEFT('General inputs'!$I$16,4)+'General inputs'!$H$38-1,"",E43/(1+'General inputs'!$H$34)^C43))</f>
        <v/>
      </c>
      <c r="I43" s="199"/>
      <c r="J43" s="113"/>
      <c r="K43" s="113"/>
      <c r="L43" s="83">
        <f>IF(LEFT(D43,4)*1&gt;LEFT('General inputs'!$I$18,4)*1,"",SUMIF('Post-1996 commissioned assets'!$F$22:$F$218,$D43,'Post-1996 commissioned assets'!$P$22:$P$218))</f>
        <v>0</v>
      </c>
      <c r="M43" s="83">
        <f>IF(L43="","",L43/(1+'General inputs'!$H$32)^C43)</f>
        <v>0</v>
      </c>
      <c r="N43" s="83" t="str">
        <f>IF(LEFT(D43,4)*1&lt;LEFT('General inputs'!$I$18,4)*1+1,"",SUMIF('Uncommissioned assets'!$F$22:$F$495,$D43,'Uncommissioned assets'!$P$22:$P$495))</f>
        <v/>
      </c>
      <c r="O43" s="83" t="str">
        <f>IF(N43="","",N43/(1+'General inputs'!$H$32)^C43)</f>
        <v/>
      </c>
      <c r="P43" s="199"/>
      <c r="Q43" s="39"/>
      <c r="R43" s="83" t="str">
        <f>IF(OR(LEFT(D43,4)*1&lt;LEFT('General inputs'!$I$16,4)*1,LEFT(D43,4)*1&gt;LEFT('General inputs'!$I$16,4)+'General inputs'!$H$38-1),"",Q43/(1+'General inputs'!$H$34)^C43)</f>
        <v/>
      </c>
      <c r="S43" s="199"/>
      <c r="T43" s="39"/>
      <c r="U43" s="83" t="str">
        <f>IF(OR(LEFT(D43,4)*1&lt;LEFT('General inputs'!$I$16,4)*1,LEFT(D43,4)*1&gt;LEFT('General inputs'!$I$16,4)+'General inputs'!$H$38-1),"",T43/(1+'General inputs'!$H$34)^C43)</f>
        <v/>
      </c>
      <c r="V43" s="55"/>
      <c r="W43" s="199"/>
      <c r="X43" s="38"/>
      <c r="Y43" s="38"/>
      <c r="Z43" s="38"/>
      <c r="AA43" s="199"/>
    </row>
    <row r="44" spans="2:27" ht="12.75" thickTop="1">
      <c r="B44" s="54"/>
      <c r="C44" s="28">
        <f>IF(D44='General inputs'!$I$16,0,IF(D44&lt;'General inputs'!$I$16,C45-1,C43+1))</f>
        <v>-24</v>
      </c>
      <c r="D44" s="87" t="str">
        <f>LEFT(D43,4)+1&amp;"-0"&amp;RIGHT(D43,2)+1</f>
        <v>2000-01</v>
      </c>
      <c r="E44" s="83">
        <f>IF(LEFT(D44,4)*1&gt;LEFT('General inputs'!$I$16,4)+'General inputs'!$H$38-1,"",'ET inputs'!D17)</f>
        <v>0</v>
      </c>
      <c r="F44" s="83">
        <f>IF(LEFT(D44,4)*1&gt;LEFT('General inputs'!$I$16,4)+'General inputs'!$H$38-1,"",E44/(1+'General inputs'!$H$30)^C44)</f>
        <v>0</v>
      </c>
      <c r="G44" s="83">
        <f>IF(LEFT(D44,4)*1&gt;LEFT('General inputs'!$I$16,4)+'General inputs'!$H$38-1,"",E44/(1+'General inputs'!$H$32)^C44)</f>
        <v>0</v>
      </c>
      <c r="H44" s="83" t="str">
        <f>IF(LEFT(D44,4)*1&lt;LEFT('General inputs'!$I$16,4)*1,"",IF(LEFT(D44,4)*1&gt;LEFT('General inputs'!$I$16,4)+'General inputs'!$H$38-1,"",E44/(1+'General inputs'!$H$34)^C44))</f>
        <v/>
      </c>
      <c r="I44" s="199"/>
      <c r="J44" s="113"/>
      <c r="K44" s="113"/>
      <c r="L44" s="83">
        <f>IF(LEFT(D44,4)*1&gt;LEFT('General inputs'!$I$18,4)*1,"",SUMIF('Post-1996 commissioned assets'!$F$22:$F$218,$D44,'Post-1996 commissioned assets'!$P$22:$P$218))</f>
        <v>0</v>
      </c>
      <c r="M44" s="83">
        <f>IF(L44="","",L44/(1+'General inputs'!$H$32)^C44)</f>
        <v>0</v>
      </c>
      <c r="N44" s="83" t="str">
        <f>IF(LEFT(D44,4)*1&lt;LEFT('General inputs'!$I$18,4)*1+1,"",SUMIF('Uncommissioned assets'!$F$22:$F$495,$D44,'Uncommissioned assets'!$P$22:$P$495))</f>
        <v/>
      </c>
      <c r="O44" s="83" t="str">
        <f>IF(N44="","",N44/(1+'General inputs'!$H$32)^C44)</f>
        <v/>
      </c>
      <c r="P44" s="199"/>
      <c r="Q44" s="39"/>
      <c r="R44" s="83" t="str">
        <f>IF(OR(LEFT(D44,4)*1&lt;LEFT('General inputs'!$I$16,4)*1,LEFT(D44,4)*1&gt;LEFT('General inputs'!$I$16,4)+'General inputs'!$H$38-1),"",Q44/(1+'General inputs'!$H$34)^C44)</f>
        <v/>
      </c>
      <c r="S44" s="199"/>
      <c r="T44" s="39"/>
      <c r="U44" s="83" t="str">
        <f>IF(OR(LEFT(D44,4)*1&lt;LEFT('General inputs'!$I$16,4)*1,LEFT(D44,4)*1&gt;LEFT('General inputs'!$I$16,4)+'General inputs'!$H$38-1),"",T44/(1+'General inputs'!$H$34)^C44)</f>
        <v/>
      </c>
      <c r="V44" s="55"/>
      <c r="W44" s="199"/>
      <c r="X44" s="38"/>
      <c r="Y44" s="38"/>
      <c r="Z44" s="38"/>
      <c r="AA44" s="199"/>
    </row>
    <row r="45" spans="2:27">
      <c r="B45" s="54"/>
      <c r="C45" s="28">
        <f>IF(D45='General inputs'!$I$16,0,IF(D45&lt;'General inputs'!$I$16,C46-1,C44+1))</f>
        <v>-23</v>
      </c>
      <c r="D45" s="28" t="str">
        <f t="shared" ref="D45:D52" si="2">LEFT(D44,4)+1&amp;"-0"&amp;RIGHT(D44,2)+1</f>
        <v>2001-02</v>
      </c>
      <c r="E45" s="83">
        <f>IF(LEFT(D45,4)*1&gt;LEFT('General inputs'!$I$16,4)+'General inputs'!$H$38-1,"",'ET inputs'!D18)</f>
        <v>0</v>
      </c>
      <c r="F45" s="83">
        <f>IF(LEFT(D45,4)*1&gt;LEFT('General inputs'!$I$16,4)+'General inputs'!$H$38-1,"",E45/(1+'General inputs'!$H$30)^C45)</f>
        <v>0</v>
      </c>
      <c r="G45" s="83">
        <f>IF(LEFT(D45,4)*1&gt;LEFT('General inputs'!$I$16,4)+'General inputs'!$H$38-1,"",E45/(1+'General inputs'!$H$32)^C45)</f>
        <v>0</v>
      </c>
      <c r="H45" s="83" t="str">
        <f>IF(LEFT(D45,4)*1&lt;LEFT('General inputs'!$I$16,4)*1,"",IF(LEFT(D45,4)*1&gt;LEFT('General inputs'!$I$16,4)+'General inputs'!$H$38-1,"",E45/(1+'General inputs'!$H$34)^C45))</f>
        <v/>
      </c>
      <c r="I45" s="199"/>
      <c r="J45" s="113"/>
      <c r="K45" s="113"/>
      <c r="L45" s="83">
        <f>IF(LEFT(D45,4)*1&gt;LEFT('General inputs'!$I$18,4)*1,"",SUMIF('Post-1996 commissioned assets'!$F$22:$F$218,$D45,'Post-1996 commissioned assets'!$P$22:$P$218))</f>
        <v>0</v>
      </c>
      <c r="M45" s="83">
        <f>IF(L45="","",L45/(1+'General inputs'!$H$32)^C45)</f>
        <v>0</v>
      </c>
      <c r="N45" s="83" t="str">
        <f>IF(LEFT(D45,4)*1&lt;LEFT('General inputs'!$I$18,4)*1+1,"",SUMIF('Uncommissioned assets'!$F$22:$F$495,$D45,'Uncommissioned assets'!$P$22:$P$495))</f>
        <v/>
      </c>
      <c r="O45" s="83" t="str">
        <f>IF(N45="","",N45/(1+'General inputs'!$H$32)^C45)</f>
        <v/>
      </c>
      <c r="P45" s="199"/>
      <c r="Q45" s="39"/>
      <c r="R45" s="83" t="str">
        <f>IF(OR(LEFT(D45,4)*1&lt;LEFT('General inputs'!$I$16,4)*1,LEFT(D45,4)*1&gt;LEFT('General inputs'!$I$16,4)+'General inputs'!$H$38-1),"",Q45/(1+'General inputs'!$H$34)^C45)</f>
        <v/>
      </c>
      <c r="S45" s="199"/>
      <c r="T45" s="39"/>
      <c r="U45" s="83" t="str">
        <f>IF(OR(LEFT(D45,4)*1&lt;LEFT('General inputs'!$I$16,4)*1,LEFT(D45,4)*1&gt;LEFT('General inputs'!$I$16,4)+'General inputs'!$H$38-1),"",T45/(1+'General inputs'!$H$34)^C45)</f>
        <v/>
      </c>
      <c r="V45" s="55"/>
      <c r="W45" s="199"/>
      <c r="X45" s="38"/>
      <c r="Y45" s="38"/>
      <c r="Z45" s="38"/>
      <c r="AA45" s="199"/>
    </row>
    <row r="46" spans="2:27">
      <c r="B46" s="54"/>
      <c r="C46" s="28">
        <f>IF(D46='General inputs'!$I$16,0,IF(D46&lt;'General inputs'!$I$16,C47-1,C45+1))</f>
        <v>-22</v>
      </c>
      <c r="D46" s="28" t="str">
        <f t="shared" si="2"/>
        <v>2002-03</v>
      </c>
      <c r="E46" s="83">
        <f>IF(LEFT(D46,4)*1&gt;LEFT('General inputs'!$I$16,4)+'General inputs'!$H$38-1,"",'ET inputs'!D19)</f>
        <v>0</v>
      </c>
      <c r="F46" s="83">
        <f>IF(LEFT(D46,4)*1&gt;LEFT('General inputs'!$I$16,4)+'General inputs'!$H$38-1,"",E46/(1+'General inputs'!$H$30)^C46)</f>
        <v>0</v>
      </c>
      <c r="G46" s="83">
        <f>IF(LEFT(D46,4)*1&gt;LEFT('General inputs'!$I$16,4)+'General inputs'!$H$38-1,"",E46/(1+'General inputs'!$H$32)^C46)</f>
        <v>0</v>
      </c>
      <c r="H46" s="83" t="str">
        <f>IF(LEFT(D46,4)*1&lt;LEFT('General inputs'!$I$16,4)*1,"",IF(LEFT(D46,4)*1&gt;LEFT('General inputs'!$I$16,4)+'General inputs'!$H$38-1,"",E46/(1+'General inputs'!$H$34)^C46))</f>
        <v/>
      </c>
      <c r="I46" s="199"/>
      <c r="J46" s="113"/>
      <c r="K46" s="113"/>
      <c r="L46" s="83">
        <f>IF(LEFT(D46,4)*1&gt;LEFT('General inputs'!$I$18,4)*1,"",SUMIF('Post-1996 commissioned assets'!$F$22:$F$218,$D46,'Post-1996 commissioned assets'!$P$22:$P$218))</f>
        <v>0</v>
      </c>
      <c r="M46" s="83">
        <f>IF(L46="","",L46/(1+'General inputs'!$H$32)^C46)</f>
        <v>0</v>
      </c>
      <c r="N46" s="83" t="str">
        <f>IF(LEFT(D46,4)*1&lt;LEFT('General inputs'!$I$18,4)*1+1,"",SUMIF('Uncommissioned assets'!$F$22:$F$495,$D46,'Uncommissioned assets'!$P$22:$P$495))</f>
        <v/>
      </c>
      <c r="O46" s="83" t="str">
        <f>IF(N46="","",N46/(1+'General inputs'!$H$32)^C46)</f>
        <v/>
      </c>
      <c r="P46" s="199"/>
      <c r="Q46" s="39"/>
      <c r="R46" s="83" t="str">
        <f>IF(OR(LEFT(D46,4)*1&lt;LEFT('General inputs'!$I$16,4)*1,LEFT(D46,4)*1&gt;LEFT('General inputs'!$I$16,4)+'General inputs'!$H$38-1),"",Q46/(1+'General inputs'!$H$34)^C46)</f>
        <v/>
      </c>
      <c r="S46" s="199"/>
      <c r="T46" s="39"/>
      <c r="U46" s="83" t="str">
        <f>IF(OR(LEFT(D46,4)*1&lt;LEFT('General inputs'!$I$16,4)*1,LEFT(D46,4)*1&gt;LEFT('General inputs'!$I$16,4)+'General inputs'!$H$38-1),"",T46/(1+'General inputs'!$H$34)^C46)</f>
        <v/>
      </c>
      <c r="V46" s="55"/>
      <c r="W46" s="199"/>
      <c r="X46" s="38"/>
      <c r="Y46" s="38"/>
      <c r="Z46" s="38"/>
      <c r="AA46" s="199"/>
    </row>
    <row r="47" spans="2:27">
      <c r="B47" s="54"/>
      <c r="C47" s="28">
        <f>IF(D47='General inputs'!$I$16,0,IF(D47&lt;'General inputs'!$I$16,C48-1,C46+1))</f>
        <v>-21</v>
      </c>
      <c r="D47" s="28" t="str">
        <f t="shared" si="2"/>
        <v>2003-04</v>
      </c>
      <c r="E47" s="83">
        <f>IF(LEFT(D47,4)*1&gt;LEFT('General inputs'!$I$16,4)+'General inputs'!$H$38-1,"",'ET inputs'!D20)</f>
        <v>0</v>
      </c>
      <c r="F47" s="83">
        <f>IF(LEFT(D47,4)*1&gt;LEFT('General inputs'!$I$16,4)+'General inputs'!$H$38-1,"",E47/(1+'General inputs'!$H$30)^C47)</f>
        <v>0</v>
      </c>
      <c r="G47" s="83">
        <f>IF(LEFT(D47,4)*1&gt;LEFT('General inputs'!$I$16,4)+'General inputs'!$H$38-1,"",E47/(1+'General inputs'!$H$32)^C47)</f>
        <v>0</v>
      </c>
      <c r="H47" s="83" t="str">
        <f>IF(LEFT(D47,4)*1&lt;LEFT('General inputs'!$I$16,4)*1,"",IF(LEFT(D47,4)*1&gt;LEFT('General inputs'!$I$16,4)+'General inputs'!$H$38-1,"",E47/(1+'General inputs'!$H$34)^C47))</f>
        <v/>
      </c>
      <c r="I47" s="199"/>
      <c r="J47" s="113"/>
      <c r="K47" s="113"/>
      <c r="L47" s="83">
        <f>IF(LEFT(D47,4)*1&gt;LEFT('General inputs'!$I$18,4)*1,"",SUMIF('Post-1996 commissioned assets'!$F$22:$F$218,$D47,'Post-1996 commissioned assets'!$P$22:$P$218))</f>
        <v>0</v>
      </c>
      <c r="M47" s="83">
        <f>IF(L47="","",L47/(1+'General inputs'!$H$32)^C47)</f>
        <v>0</v>
      </c>
      <c r="N47" s="83" t="str">
        <f>IF(LEFT(D47,4)*1&lt;LEFT('General inputs'!$I$18,4)*1+1,"",SUMIF('Uncommissioned assets'!$F$22:$F$495,$D47,'Uncommissioned assets'!$P$22:$P$495))</f>
        <v/>
      </c>
      <c r="O47" s="83" t="str">
        <f>IF(N47="","",N47/(1+'General inputs'!$H$32)^C47)</f>
        <v/>
      </c>
      <c r="P47" s="199"/>
      <c r="Q47" s="39"/>
      <c r="R47" s="83" t="str">
        <f>IF(OR(LEFT(D47,4)*1&lt;LEFT('General inputs'!$I$16,4)*1,LEFT(D47,4)*1&gt;LEFT('General inputs'!$I$16,4)+'General inputs'!$H$38-1),"",Q47/(1+'General inputs'!$H$34)^C47)</f>
        <v/>
      </c>
      <c r="S47" s="199"/>
      <c r="T47" s="39"/>
      <c r="U47" s="83" t="str">
        <f>IF(OR(LEFT(D47,4)*1&lt;LEFT('General inputs'!$I$16,4)*1,LEFT(D47,4)*1&gt;LEFT('General inputs'!$I$16,4)+'General inputs'!$H$38-1),"",T47/(1+'General inputs'!$H$34)^C47)</f>
        <v/>
      </c>
      <c r="V47" s="55"/>
      <c r="W47" s="199"/>
      <c r="X47" s="38"/>
      <c r="Y47" s="38"/>
      <c r="Z47" s="38"/>
      <c r="AA47" s="199"/>
    </row>
    <row r="48" spans="2:27">
      <c r="B48" s="54"/>
      <c r="C48" s="28">
        <f>IF(D48='General inputs'!$I$16,0,IF(D48&lt;'General inputs'!$I$16,C49-1,C47+1))</f>
        <v>-20</v>
      </c>
      <c r="D48" s="28" t="str">
        <f t="shared" si="2"/>
        <v>2004-05</v>
      </c>
      <c r="E48" s="83">
        <f>IF(LEFT(D48,4)*1&gt;LEFT('General inputs'!$I$16,4)+'General inputs'!$H$38-1,"",'ET inputs'!D21)</f>
        <v>0</v>
      </c>
      <c r="F48" s="83">
        <f>IF(LEFT(D48,4)*1&gt;LEFT('General inputs'!$I$16,4)+'General inputs'!$H$38-1,"",E48/(1+'General inputs'!$H$30)^C48)</f>
        <v>0</v>
      </c>
      <c r="G48" s="83">
        <f>IF(LEFT(D48,4)*1&gt;LEFT('General inputs'!$I$16,4)+'General inputs'!$H$38-1,"",E48/(1+'General inputs'!$H$32)^C48)</f>
        <v>0</v>
      </c>
      <c r="H48" s="83" t="str">
        <f>IF(LEFT(D48,4)*1&lt;LEFT('General inputs'!$I$16,4)*1,"",IF(LEFT(D48,4)*1&gt;LEFT('General inputs'!$I$16,4)+'General inputs'!$H$38-1,"",E48/(1+'General inputs'!$H$34)^C48))</f>
        <v/>
      </c>
      <c r="I48" s="199"/>
      <c r="J48" s="113"/>
      <c r="K48" s="113"/>
      <c r="L48" s="83">
        <f>IF(LEFT(D48,4)*1&gt;LEFT('General inputs'!$I$18,4)*1,"",SUMIF('Post-1996 commissioned assets'!$F$22:$F$218,$D48,'Post-1996 commissioned assets'!$P$22:$P$218))</f>
        <v>0</v>
      </c>
      <c r="M48" s="83">
        <f>IF(L48="","",L48/(1+'General inputs'!$H$32)^C48)</f>
        <v>0</v>
      </c>
      <c r="N48" s="83" t="str">
        <f>IF(LEFT(D48,4)*1&lt;LEFT('General inputs'!$I$18,4)*1+1,"",SUMIF('Uncommissioned assets'!$F$22:$F$495,$D48,'Uncommissioned assets'!$P$22:$P$495))</f>
        <v/>
      </c>
      <c r="O48" s="83" t="str">
        <f>IF(N48="","",N48/(1+'General inputs'!$H$32)^C48)</f>
        <v/>
      </c>
      <c r="P48" s="199"/>
      <c r="Q48" s="88"/>
      <c r="R48" s="83" t="str">
        <f>IF(OR(LEFT(D48,4)*1&lt;LEFT('General inputs'!$I$16,4)*1,LEFT(D48,4)*1&gt;LEFT('General inputs'!$I$16,4)+'General inputs'!$H$38-1),"",Q48/(1+'General inputs'!$H$34)^C48)</f>
        <v/>
      </c>
      <c r="S48" s="199"/>
      <c r="T48" s="88"/>
      <c r="U48" s="83" t="str">
        <f>IF(OR(LEFT(D48,4)*1&lt;LEFT('General inputs'!$I$16,4)*1,LEFT(D48,4)*1&gt;LEFT('General inputs'!$I$16,4)+'General inputs'!$H$38-1),"",T48/(1+'General inputs'!$H$34)^C48)</f>
        <v/>
      </c>
      <c r="V48" s="55"/>
      <c r="W48" s="199"/>
      <c r="X48" s="38"/>
      <c r="Y48" s="38"/>
      <c r="Z48" s="38"/>
      <c r="AA48" s="199"/>
    </row>
    <row r="49" spans="2:26">
      <c r="B49" s="54"/>
      <c r="C49" s="28">
        <f>IF(D49='General inputs'!$I$16,0,IF(D49&lt;'General inputs'!$I$16,C50-1,C48+1))</f>
        <v>-19</v>
      </c>
      <c r="D49" s="28" t="str">
        <f t="shared" si="2"/>
        <v>2005-06</v>
      </c>
      <c r="E49" s="83">
        <f>IF(LEFT(D49,4)*1&gt;LEFT('General inputs'!$I$16,4)+'General inputs'!$H$38-1,"",'ET inputs'!D22)</f>
        <v>0</v>
      </c>
      <c r="F49" s="83">
        <f>IF(LEFT(D49,4)*1&gt;LEFT('General inputs'!$I$16,4)+'General inputs'!$H$38-1,"",E49/(1+'General inputs'!$H$30)^C49)</f>
        <v>0</v>
      </c>
      <c r="G49" s="83">
        <f>IF(LEFT(D49,4)*1&gt;LEFT('General inputs'!$I$16,4)+'General inputs'!$H$38-1,"",E49/(1+'General inputs'!$H$32)^C49)</f>
        <v>0</v>
      </c>
      <c r="H49" s="83" t="str">
        <f>IF(LEFT(D49,4)*1&lt;LEFT('General inputs'!$I$16,4)*1,"",IF(LEFT(D49,4)*1&gt;LEFT('General inputs'!$I$16,4)+'General inputs'!$H$38-1,"",E49/(1+'General inputs'!$H$34)^C49))</f>
        <v/>
      </c>
      <c r="I49" s="199"/>
      <c r="J49" s="113"/>
      <c r="K49" s="113"/>
      <c r="L49" s="83">
        <f>IF(LEFT(D49,4)*1&gt;LEFT('General inputs'!$I$18,4)*1,"",SUMIF('Post-1996 commissioned assets'!$F$22:$F$218,$D49,'Post-1996 commissioned assets'!$P$22:$P$218))</f>
        <v>0</v>
      </c>
      <c r="M49" s="83">
        <f>IF(L49="","",L49/(1+'General inputs'!$H$32)^C49)</f>
        <v>0</v>
      </c>
      <c r="N49" s="83" t="str">
        <f>IF(LEFT(D49,4)*1&lt;LEFT('General inputs'!$I$18,4)*1+1,"",SUMIF('Uncommissioned assets'!$F$22:$F$495,$D49,'Uncommissioned assets'!$P$22:$P$495))</f>
        <v/>
      </c>
      <c r="O49" s="83" t="str">
        <f>IF(N49="","",N49/(1+'General inputs'!$H$32)^C49)</f>
        <v/>
      </c>
      <c r="P49" s="199"/>
      <c r="Q49" s="88"/>
      <c r="R49" s="83" t="str">
        <f>IF(OR(LEFT(D49,4)*1&lt;LEFT('General inputs'!$I$16,4)*1,LEFT(D49,4)*1&gt;LEFT('General inputs'!$I$16,4)+'General inputs'!$H$38-1),"",Q49/(1+'General inputs'!$H$34)^C49)</f>
        <v/>
      </c>
      <c r="S49" s="199"/>
      <c r="T49" s="88"/>
      <c r="U49" s="83" t="str">
        <f>IF(OR(LEFT(D49,4)*1&lt;LEFT('General inputs'!$I$16,4)*1,LEFT(D49,4)*1&gt;LEFT('General inputs'!$I$16,4)+'General inputs'!$H$38-1),"",T49/(1+'General inputs'!$H$34)^C49)</f>
        <v/>
      </c>
      <c r="V49" s="55"/>
      <c r="W49" s="199"/>
      <c r="X49" s="38"/>
      <c r="Y49" s="38"/>
      <c r="Z49" s="38"/>
    </row>
    <row r="50" spans="2:26">
      <c r="B50" s="54"/>
      <c r="C50" s="28">
        <f>IF(D50='General inputs'!$I$16,0,IF(D50&lt;'General inputs'!$I$16,C51-1,C49+1))</f>
        <v>-18</v>
      </c>
      <c r="D50" s="28" t="str">
        <f t="shared" si="2"/>
        <v>2006-07</v>
      </c>
      <c r="E50" s="83">
        <f>IF(LEFT(D50,4)*1&gt;LEFT('General inputs'!$I$16,4)+'General inputs'!$H$38-1,"",'ET inputs'!D23)</f>
        <v>0</v>
      </c>
      <c r="F50" s="83">
        <f>IF(LEFT(D50,4)*1&gt;LEFT('General inputs'!$I$16,4)+'General inputs'!$H$38-1,"",E50/(1+'General inputs'!$H$30)^C50)</f>
        <v>0</v>
      </c>
      <c r="G50" s="83">
        <f>IF(LEFT(D50,4)*1&gt;LEFT('General inputs'!$I$16,4)+'General inputs'!$H$38-1,"",E50/(1+'General inputs'!$H$32)^C50)</f>
        <v>0</v>
      </c>
      <c r="H50" s="83" t="str">
        <f>IF(LEFT(D50,4)*1&lt;LEFT('General inputs'!$I$16,4)*1,"",IF(LEFT(D50,4)*1&gt;LEFT('General inputs'!$I$16,4)+'General inputs'!$H$38-1,"",E50/(1+'General inputs'!$H$34)^C50))</f>
        <v/>
      </c>
      <c r="I50" s="199"/>
      <c r="J50" s="113"/>
      <c r="K50" s="113"/>
      <c r="L50" s="83">
        <f>IF(LEFT(D50,4)*1&gt;LEFT('General inputs'!$I$18,4)*1,"",SUMIF('Post-1996 commissioned assets'!$F$22:$F$218,$D50,'Post-1996 commissioned assets'!$P$22:$P$218))</f>
        <v>0</v>
      </c>
      <c r="M50" s="83">
        <f>IF(L50="","",L50/(1+'General inputs'!$H$32)^C50)</f>
        <v>0</v>
      </c>
      <c r="N50" s="83" t="str">
        <f>IF(LEFT(D50,4)*1&lt;LEFT('General inputs'!$I$18,4)*1+1,"",SUMIF('Uncommissioned assets'!$F$22:$F$495,$D50,'Uncommissioned assets'!$P$22:$P$495))</f>
        <v/>
      </c>
      <c r="O50" s="83" t="str">
        <f>IF(N50="","",N50/(1+'General inputs'!$H$32)^C50)</f>
        <v/>
      </c>
      <c r="P50" s="199"/>
      <c r="Q50" s="88"/>
      <c r="R50" s="83" t="str">
        <f>IF(OR(LEFT(D50,4)*1&lt;LEFT('General inputs'!$I$16,4)*1,LEFT(D50,4)*1&gt;LEFT('General inputs'!$I$16,4)+'General inputs'!$H$38-1),"",Q50/(1+'General inputs'!$H$34)^C50)</f>
        <v/>
      </c>
      <c r="S50" s="199"/>
      <c r="T50" s="88"/>
      <c r="U50" s="83" t="str">
        <f>IF(OR(LEFT(D50,4)*1&lt;LEFT('General inputs'!$I$16,4)*1,LEFT(D50,4)*1&gt;LEFT('General inputs'!$I$16,4)+'General inputs'!$H$38-1),"",T50/(1+'General inputs'!$H$34)^C50)</f>
        <v/>
      </c>
      <c r="V50" s="55"/>
      <c r="W50" s="199"/>
      <c r="X50" s="38"/>
      <c r="Y50" s="38"/>
      <c r="Z50" s="38"/>
    </row>
    <row r="51" spans="2:26">
      <c r="B51" s="54"/>
      <c r="C51" s="28">
        <f>IF(D51='General inputs'!$I$16,0,IF(D51&lt;'General inputs'!$I$16,C52-1,C50+1))</f>
        <v>-17</v>
      </c>
      <c r="D51" s="28" t="str">
        <f t="shared" si="2"/>
        <v>2007-08</v>
      </c>
      <c r="E51" s="83">
        <f>IF(LEFT(D51,4)*1&gt;LEFT('General inputs'!$I$16,4)+'General inputs'!$H$38-1,"",'ET inputs'!D24)</f>
        <v>0</v>
      </c>
      <c r="F51" s="83">
        <f>IF(LEFT(D51,4)*1&gt;LEFT('General inputs'!$I$16,4)+'General inputs'!$H$38-1,"",E51/(1+'General inputs'!$H$30)^C51)</f>
        <v>0</v>
      </c>
      <c r="G51" s="83">
        <f>IF(LEFT(D51,4)*1&gt;LEFT('General inputs'!$I$16,4)+'General inputs'!$H$38-1,"",E51/(1+'General inputs'!$H$32)^C51)</f>
        <v>0</v>
      </c>
      <c r="H51" s="83" t="str">
        <f>IF(LEFT(D51,4)*1&lt;LEFT('General inputs'!$I$16,4)*1,"",IF(LEFT(D51,4)*1&gt;LEFT('General inputs'!$I$16,4)+'General inputs'!$H$38-1,"",E51/(1+'General inputs'!$H$34)^C51))</f>
        <v/>
      </c>
      <c r="I51" s="199"/>
      <c r="J51" s="113"/>
      <c r="K51" s="113"/>
      <c r="L51" s="83">
        <f>IF(LEFT(D51,4)*1&gt;LEFT('General inputs'!$I$18,4)*1,"",SUMIF('Post-1996 commissioned assets'!$F$22:$F$218,$D51,'Post-1996 commissioned assets'!$P$22:$P$218))</f>
        <v>0</v>
      </c>
      <c r="M51" s="83">
        <f>IF(L51="","",L51/(1+'General inputs'!$H$32)^C51)</f>
        <v>0</v>
      </c>
      <c r="N51" s="83" t="str">
        <f>IF(LEFT(D51,4)*1&lt;LEFT('General inputs'!$I$18,4)*1+1,"",SUMIF('Uncommissioned assets'!$F$22:$F$495,$D51,'Uncommissioned assets'!$P$22:$P$495))</f>
        <v/>
      </c>
      <c r="O51" s="83" t="str">
        <f>IF(N51="","",N51/(1+'General inputs'!$H$32)^C51)</f>
        <v/>
      </c>
      <c r="P51" s="199"/>
      <c r="Q51" s="88"/>
      <c r="R51" s="83" t="str">
        <f>IF(OR(LEFT(D51,4)*1&lt;LEFT('General inputs'!$I$16,4)*1,LEFT(D51,4)*1&gt;LEFT('General inputs'!$I$16,4)+'General inputs'!$H$38-1),"",Q51/(1+'General inputs'!$H$34)^C51)</f>
        <v/>
      </c>
      <c r="S51" s="199"/>
      <c r="T51" s="88"/>
      <c r="U51" s="83" t="str">
        <f>IF(OR(LEFT(D51,4)*1&lt;LEFT('General inputs'!$I$16,4)*1,LEFT(D51,4)*1&gt;LEFT('General inputs'!$I$16,4)+'General inputs'!$H$38-1),"",T51/(1+'General inputs'!$H$34)^C51)</f>
        <v/>
      </c>
      <c r="V51" s="55"/>
      <c r="W51" s="199"/>
      <c r="X51" s="38"/>
      <c r="Y51" s="38"/>
      <c r="Z51" s="38"/>
    </row>
    <row r="52" spans="2:26" ht="12.75" thickBot="1">
      <c r="B52" s="54"/>
      <c r="C52" s="28">
        <f>IF(D52='General inputs'!$I$16,0,IF(D52&lt;'General inputs'!$I$16,C53-1,C51+1))</f>
        <v>-16</v>
      </c>
      <c r="D52" s="85" t="str">
        <f t="shared" si="2"/>
        <v>2008-09</v>
      </c>
      <c r="E52" s="83">
        <f>IF(LEFT(D52,4)*1&gt;LEFT('General inputs'!$I$16,4)+'General inputs'!$H$38-1,"",'ET inputs'!D25)</f>
        <v>0</v>
      </c>
      <c r="F52" s="83">
        <f>IF(LEFT(D52,4)*1&gt;LEFT('General inputs'!$I$16,4)+'General inputs'!$H$38-1,"",E52/(1+'General inputs'!$H$30)^C52)</f>
        <v>0</v>
      </c>
      <c r="G52" s="83">
        <f>IF(LEFT(D52,4)*1&gt;LEFT('General inputs'!$I$16,4)+'General inputs'!$H$38-1,"",E52/(1+'General inputs'!$H$32)^C52)</f>
        <v>0</v>
      </c>
      <c r="H52" s="83" t="str">
        <f>IF(LEFT(D52,4)*1&lt;LEFT('General inputs'!$I$16,4)*1,"",IF(LEFT(D52,4)*1&gt;LEFT('General inputs'!$I$16,4)+'General inputs'!$H$38-1,"",E52/(1+'General inputs'!$H$34)^C52))</f>
        <v/>
      </c>
      <c r="I52" s="199"/>
      <c r="J52" s="113"/>
      <c r="K52" s="113"/>
      <c r="L52" s="83">
        <f>IF(LEFT(D52,4)*1&gt;LEFT('General inputs'!$I$18,4)*1,"",SUMIF('Post-1996 commissioned assets'!$F$22:$F$218,$D52,'Post-1996 commissioned assets'!$P$22:$P$218))</f>
        <v>0</v>
      </c>
      <c r="M52" s="83">
        <f>IF(L52="","",L52/(1+'General inputs'!$H$32)^C52)</f>
        <v>0</v>
      </c>
      <c r="N52" s="83" t="str">
        <f>IF(LEFT(D52,4)*1&lt;LEFT('General inputs'!$I$18,4)*1+1,"",SUMIF('Uncommissioned assets'!$F$22:$F$495,$D52,'Uncommissioned assets'!$P$22:$P$495))</f>
        <v/>
      </c>
      <c r="O52" s="83" t="str">
        <f>IF(N52="","",N52/(1+'General inputs'!$H$32)^C52)</f>
        <v/>
      </c>
      <c r="P52" s="199"/>
      <c r="Q52" s="88"/>
      <c r="R52" s="83" t="str">
        <f>IF(OR(LEFT(D52,4)*1&lt;LEFT('General inputs'!$I$16,4)*1,LEFT(D52,4)*1&gt;LEFT('General inputs'!$I$16,4)+'General inputs'!$H$38-1),"",Q52/(1+'General inputs'!$H$34)^C52)</f>
        <v/>
      </c>
      <c r="S52" s="199"/>
      <c r="T52" s="88"/>
      <c r="U52" s="83" t="str">
        <f>IF(OR(LEFT(D52,4)*1&lt;LEFT('General inputs'!$I$16,4)*1,LEFT(D52,4)*1&gt;LEFT('General inputs'!$I$16,4)+'General inputs'!$H$38-1),"",T52/(1+'General inputs'!$H$34)^C52)</f>
        <v/>
      </c>
      <c r="V52" s="55"/>
      <c r="W52" s="199"/>
      <c r="X52" s="38"/>
      <c r="Y52" s="38"/>
      <c r="Z52" s="38"/>
    </row>
    <row r="53" spans="2:26" ht="12.75" thickTop="1">
      <c r="B53" s="54"/>
      <c r="C53" s="28">
        <f>IF(D53='General inputs'!$I$16,0,IF(D53&lt;'General inputs'!$I$16,C54-1,C52+1))</f>
        <v>-15</v>
      </c>
      <c r="D53" s="87" t="str">
        <f t="shared" si="1"/>
        <v>2009-10</v>
      </c>
      <c r="E53" s="83">
        <f>IF(LEFT(D53,4)*1&gt;LEFT('General inputs'!$I$16,4)+'General inputs'!$H$38-1,"",'ET inputs'!D26)</f>
        <v>0</v>
      </c>
      <c r="F53" s="83">
        <f>IF(LEFT(D53,4)*1&gt;LEFT('General inputs'!$I$16,4)+'General inputs'!$H$38-1,"",E53/(1+'General inputs'!$H$30)^C53)</f>
        <v>0</v>
      </c>
      <c r="G53" s="83">
        <f>IF(LEFT(D53,4)*1&gt;LEFT('General inputs'!$I$16,4)+'General inputs'!$H$38-1,"",E53/(1+'General inputs'!$H$32)^C53)</f>
        <v>0</v>
      </c>
      <c r="H53" s="83" t="str">
        <f>IF(LEFT(D53,4)*1&lt;LEFT('General inputs'!$I$16,4)*1,"",IF(LEFT(D53,4)*1&gt;LEFT('General inputs'!$I$16,4)+'General inputs'!$H$38-1,"",E53/(1+'General inputs'!$H$34)^C53))</f>
        <v/>
      </c>
      <c r="I53" s="199"/>
      <c r="J53" s="113"/>
      <c r="K53" s="113"/>
      <c r="L53" s="83">
        <f>IF(LEFT(D53,4)*1&gt;LEFT('General inputs'!$I$18,4)*1,"",SUMIF('Post-1996 commissioned assets'!$F$22:$F$218,$D53,'Post-1996 commissioned assets'!$P$22:$P$218))</f>
        <v>0</v>
      </c>
      <c r="M53" s="83">
        <f>IF(L53="","",L53/(1+'General inputs'!$H$32)^C53)</f>
        <v>0</v>
      </c>
      <c r="N53" s="83" t="str">
        <f>IF(LEFT(D53,4)*1&lt;LEFT('General inputs'!$I$18,4)*1+1,"",SUMIF('Uncommissioned assets'!$F$22:$F$495,$D53,'Uncommissioned assets'!$P$22:$P$495))</f>
        <v/>
      </c>
      <c r="O53" s="83" t="str">
        <f>IF(N53="","",N53/(1+'General inputs'!$H$32)^C53)</f>
        <v/>
      </c>
      <c r="P53" s="199"/>
      <c r="Q53" s="88"/>
      <c r="R53" s="83" t="str">
        <f>IF(OR(LEFT(D53,4)*1&lt;LEFT('General inputs'!$I$16,4)*1,LEFT(D53,4)*1&gt;LEFT('General inputs'!$I$16,4)+'General inputs'!$H$38-1),"",Q53/(1+'General inputs'!$H$34)^C53)</f>
        <v/>
      </c>
      <c r="S53" s="199"/>
      <c r="T53" s="88"/>
      <c r="U53" s="83" t="str">
        <f>IF(OR(LEFT(D53,4)*1&lt;LEFT('General inputs'!$I$16,4)*1,LEFT(D53,4)*1&gt;LEFT('General inputs'!$I$16,4)+'General inputs'!$H$38-1),"",T53/(1+'General inputs'!$H$34)^C53)</f>
        <v/>
      </c>
      <c r="V53" s="55"/>
      <c r="W53" s="199"/>
      <c r="X53" s="38"/>
      <c r="Y53" s="38"/>
      <c r="Z53" s="38"/>
    </row>
    <row r="54" spans="2:26">
      <c r="B54" s="54"/>
      <c r="C54" s="28">
        <f>IF(D54='General inputs'!$I$16,0,IF(D54&lt;'General inputs'!$I$16,C55-1,C53+1))</f>
        <v>-14</v>
      </c>
      <c r="D54" s="28" t="str">
        <f t="shared" si="1"/>
        <v>2010-11</v>
      </c>
      <c r="E54" s="83">
        <f>IF(LEFT(D54,4)*1&gt;LEFT('General inputs'!$I$16,4)+'General inputs'!$H$38-1,"",'ET inputs'!D27)</f>
        <v>0</v>
      </c>
      <c r="F54" s="83">
        <f>IF(LEFT(D54,4)*1&gt;LEFT('General inputs'!$I$16,4)+'General inputs'!$H$38-1,"",E54/(1+'General inputs'!$H$30)^C54)</f>
        <v>0</v>
      </c>
      <c r="G54" s="83">
        <f>IF(LEFT(D54,4)*1&gt;LEFT('General inputs'!$I$16,4)+'General inputs'!$H$38-1,"",E54/(1+'General inputs'!$H$32)^C54)</f>
        <v>0</v>
      </c>
      <c r="H54" s="83" t="str">
        <f>IF(LEFT(D54,4)*1&lt;LEFT('General inputs'!$I$16,4)*1,"",IF(LEFT(D54,4)*1&gt;LEFT('General inputs'!$I$16,4)+'General inputs'!$H$38-1,"",E54/(1+'General inputs'!$H$34)^C54))</f>
        <v/>
      </c>
      <c r="I54" s="199"/>
      <c r="J54" s="113"/>
      <c r="K54" s="113"/>
      <c r="L54" s="83">
        <f>IF(LEFT(D54,4)*1&gt;LEFT('General inputs'!$I$18,4)*1,"",SUMIF('Post-1996 commissioned assets'!$F$22:$F$218,$D54,'Post-1996 commissioned assets'!$P$22:$P$218))</f>
        <v>0</v>
      </c>
      <c r="M54" s="83">
        <f>IF(L54="","",L54/(1+'General inputs'!$H$32)^C54)</f>
        <v>0</v>
      </c>
      <c r="N54" s="83" t="str">
        <f>IF(LEFT(D54,4)*1&lt;LEFT('General inputs'!$I$18,4)*1+1,"",SUMIF('Uncommissioned assets'!$F$22:$F$495,$D54,'Uncommissioned assets'!$P$22:$P$495))</f>
        <v/>
      </c>
      <c r="O54" s="83" t="str">
        <f>IF(N54="","",N54/(1+'General inputs'!$H$32)^C54)</f>
        <v/>
      </c>
      <c r="P54" s="199"/>
      <c r="Q54" s="88"/>
      <c r="R54" s="83" t="str">
        <f>IF(OR(LEFT(D54,4)*1&lt;LEFT('General inputs'!$I$16,4)*1,LEFT(D54,4)*1&gt;LEFT('General inputs'!$I$16,4)+'General inputs'!$H$38-1),"",Q54/(1+'General inputs'!$H$34)^C54)</f>
        <v/>
      </c>
      <c r="S54" s="199"/>
      <c r="T54" s="88"/>
      <c r="U54" s="83" t="str">
        <f>IF(OR(LEFT(D54,4)*1&lt;LEFT('General inputs'!$I$16,4)*1,LEFT(D54,4)*1&gt;LEFT('General inputs'!$I$16,4)+'General inputs'!$H$38-1),"",T54/(1+'General inputs'!$H$34)^C54)</f>
        <v/>
      </c>
      <c r="V54" s="55"/>
      <c r="W54" s="199"/>
      <c r="X54" s="38"/>
      <c r="Y54" s="38"/>
      <c r="Z54" s="38"/>
    </row>
    <row r="55" spans="2:26">
      <c r="B55" s="54"/>
      <c r="C55" s="28">
        <f>IF(D55='General inputs'!$I$16,0,IF(D55&lt;'General inputs'!$I$16,C56-1,C54+1))</f>
        <v>-13</v>
      </c>
      <c r="D55" s="28" t="str">
        <f t="shared" si="1"/>
        <v>2011-12</v>
      </c>
      <c r="E55" s="83">
        <f>IF(LEFT(D55,4)*1&gt;LEFT('General inputs'!$I$16,4)+'General inputs'!$H$38-1,"",'ET inputs'!D28)</f>
        <v>0</v>
      </c>
      <c r="F55" s="83">
        <f>IF(LEFT(D55,4)*1&gt;LEFT('General inputs'!$I$16,4)+'General inputs'!$H$38-1,"",E55/(1+'General inputs'!$H$30)^C55)</f>
        <v>0</v>
      </c>
      <c r="G55" s="83">
        <f>IF(LEFT(D55,4)*1&gt;LEFT('General inputs'!$I$16,4)+'General inputs'!$H$38-1,"",E55/(1+'General inputs'!$H$32)^C55)</f>
        <v>0</v>
      </c>
      <c r="H55" s="83" t="str">
        <f>IF(LEFT(D55,4)*1&lt;LEFT('General inputs'!$I$16,4)*1,"",IF(LEFT(D55,4)*1&gt;LEFT('General inputs'!$I$16,4)+'General inputs'!$H$38-1,"",E55/(1+'General inputs'!$H$34)^C55))</f>
        <v/>
      </c>
      <c r="I55" s="199"/>
      <c r="J55" s="113"/>
      <c r="K55" s="113"/>
      <c r="L55" s="83">
        <f>IF(LEFT(D55,4)*1&gt;LEFT('General inputs'!$I$18,4)*1,"",SUMIF('Post-1996 commissioned assets'!$F$22:$F$218,$D55,'Post-1996 commissioned assets'!$P$22:$P$218))</f>
        <v>0</v>
      </c>
      <c r="M55" s="83">
        <f>IF(L55="","",L55/(1+'General inputs'!$H$32)^C55)</f>
        <v>0</v>
      </c>
      <c r="N55" s="83" t="str">
        <f>IF(LEFT(D55,4)*1&lt;LEFT('General inputs'!$I$18,4)*1+1,"",SUMIF('Uncommissioned assets'!$F$22:$F$495,$D55,'Uncommissioned assets'!$P$22:$P$495))</f>
        <v/>
      </c>
      <c r="O55" s="83" t="str">
        <f>IF(N55="","",N55/(1+'General inputs'!$H$32)^C55)</f>
        <v/>
      </c>
      <c r="P55" s="199"/>
      <c r="Q55" s="88"/>
      <c r="R55" s="83" t="str">
        <f>IF(OR(LEFT(D55,4)*1&lt;LEFT('General inputs'!$I$16,4)*1,LEFT(D55,4)*1&gt;LEFT('General inputs'!$I$16,4)+'General inputs'!$H$38-1),"",Q55/(1+'General inputs'!$H$34)^C55)</f>
        <v/>
      </c>
      <c r="S55" s="199"/>
      <c r="T55" s="88"/>
      <c r="U55" s="83" t="str">
        <f>IF(OR(LEFT(D55,4)*1&lt;LEFT('General inputs'!$I$16,4)*1,LEFT(D55,4)*1&gt;LEFT('General inputs'!$I$16,4)+'General inputs'!$H$38-1),"",T55/(1+'General inputs'!$H$34)^C55)</f>
        <v/>
      </c>
      <c r="V55" s="55"/>
      <c r="W55" s="199"/>
      <c r="X55" s="38"/>
      <c r="Y55" s="38"/>
      <c r="Z55" s="38"/>
    </row>
    <row r="56" spans="2:26">
      <c r="B56" s="54"/>
      <c r="C56" s="28">
        <f>IF(D56='General inputs'!$I$16,0,IF(D56&lt;'General inputs'!$I$16,C57-1,C55+1))</f>
        <v>-12</v>
      </c>
      <c r="D56" s="28" t="str">
        <f t="shared" si="1"/>
        <v>2012-13</v>
      </c>
      <c r="E56" s="83">
        <f>IF(LEFT(D56,4)*1&gt;LEFT('General inputs'!$I$16,4)+'General inputs'!$H$38-1,"",'ET inputs'!D29)</f>
        <v>0</v>
      </c>
      <c r="F56" s="83">
        <f>IF(LEFT(D56,4)*1&gt;LEFT('General inputs'!$I$16,4)+'General inputs'!$H$38-1,"",E56/(1+'General inputs'!$H$30)^C56)</f>
        <v>0</v>
      </c>
      <c r="G56" s="83">
        <f>IF(LEFT(D56,4)*1&gt;LEFT('General inputs'!$I$16,4)+'General inputs'!$H$38-1,"",E56/(1+'General inputs'!$H$32)^C56)</f>
        <v>0</v>
      </c>
      <c r="H56" s="83" t="str">
        <f>IF(LEFT(D56,4)*1&lt;LEFT('General inputs'!$I$16,4)*1,"",IF(LEFT(D56,4)*1&gt;LEFT('General inputs'!$I$16,4)+'General inputs'!$H$38-1,"",E56/(1+'General inputs'!$H$34)^C56))</f>
        <v/>
      </c>
      <c r="I56" s="199"/>
      <c r="J56" s="113"/>
      <c r="K56" s="113"/>
      <c r="L56" s="83">
        <f>IF(LEFT(D56,4)*1&gt;LEFT('General inputs'!$I$18,4)*1,"",SUMIF('Post-1996 commissioned assets'!$F$22:$F$218,$D56,'Post-1996 commissioned assets'!$P$22:$P$218))</f>
        <v>0</v>
      </c>
      <c r="M56" s="83">
        <f>IF(L56="","",L56/(1+'General inputs'!$H$32)^C56)</f>
        <v>0</v>
      </c>
      <c r="N56" s="83" t="str">
        <f>IF(LEFT(D56,4)*1&lt;LEFT('General inputs'!$I$18,4)*1+1,"",SUMIF('Uncommissioned assets'!$F$22:$F$495,$D56,'Uncommissioned assets'!$P$22:$P$495))</f>
        <v/>
      </c>
      <c r="O56" s="83" t="str">
        <f>IF(N56="","",N56/(1+'General inputs'!$H$32)^C56)</f>
        <v/>
      </c>
      <c r="P56" s="199"/>
      <c r="Q56" s="88"/>
      <c r="R56" s="83" t="str">
        <f>IF(OR(LEFT(D56,4)*1&lt;LEFT('General inputs'!$I$16,4)*1,LEFT(D56,4)*1&gt;LEFT('General inputs'!$I$16,4)+'General inputs'!$H$38-1),"",Q56/(1+'General inputs'!$H$34)^C56)</f>
        <v/>
      </c>
      <c r="S56" s="199"/>
      <c r="T56" s="88"/>
      <c r="U56" s="83" t="str">
        <f>IF(OR(LEFT(D56,4)*1&lt;LEFT('General inputs'!$I$16,4)*1,LEFT(D56,4)*1&gt;LEFT('General inputs'!$I$16,4)+'General inputs'!$H$38-1),"",T56/(1+'General inputs'!$H$34)^C56)</f>
        <v/>
      </c>
      <c r="V56" s="55"/>
      <c r="W56" s="199"/>
      <c r="X56" s="38"/>
      <c r="Y56" s="38"/>
      <c r="Z56" s="38"/>
    </row>
    <row r="57" spans="2:26">
      <c r="B57" s="54"/>
      <c r="C57" s="28">
        <f>IF(D57='General inputs'!$I$16,0,IF(D57&lt;'General inputs'!$I$16,C58-1,C56+1))</f>
        <v>-11</v>
      </c>
      <c r="D57" s="28" t="str">
        <f t="shared" si="1"/>
        <v>2013-14</v>
      </c>
      <c r="E57" s="83">
        <f>IF(LEFT(D57,4)*1&gt;LEFT('General inputs'!$I$16,4)+'General inputs'!$H$38-1,"",'ET inputs'!D30)</f>
        <v>0</v>
      </c>
      <c r="F57" s="83">
        <f>IF(LEFT(D57,4)*1&gt;LEFT('General inputs'!$I$16,4)+'General inputs'!$H$38-1,"",E57/(1+'General inputs'!$H$30)^C57)</f>
        <v>0</v>
      </c>
      <c r="G57" s="83">
        <f>IF(LEFT(D57,4)*1&gt;LEFT('General inputs'!$I$16,4)+'General inputs'!$H$38-1,"",E57/(1+'General inputs'!$H$32)^C57)</f>
        <v>0</v>
      </c>
      <c r="H57" s="83" t="str">
        <f>IF(LEFT(D57,4)*1&lt;LEFT('General inputs'!$I$16,4)*1,"",IF(LEFT(D57,4)*1&gt;LEFT('General inputs'!$I$16,4)+'General inputs'!$H$38-1,"",E57/(1+'General inputs'!$H$34)^C57))</f>
        <v/>
      </c>
      <c r="I57" s="199"/>
      <c r="J57" s="113"/>
      <c r="K57" s="113"/>
      <c r="L57" s="83">
        <f>IF(LEFT(D57,4)*1&gt;LEFT('General inputs'!$I$18,4)*1,"",SUMIF('Post-1996 commissioned assets'!$F$22:$F$218,$D57,'Post-1996 commissioned assets'!$P$22:$P$218))</f>
        <v>0</v>
      </c>
      <c r="M57" s="83">
        <f>IF(L57="","",L57/(1+'General inputs'!$H$32)^C57)</f>
        <v>0</v>
      </c>
      <c r="N57" s="83" t="str">
        <f>IF(LEFT(D57,4)*1&lt;LEFT('General inputs'!$I$18,4)*1+1,"",SUMIF('Uncommissioned assets'!$F$22:$F$495,$D57,'Uncommissioned assets'!$P$22:$P$495))</f>
        <v/>
      </c>
      <c r="O57" s="83" t="str">
        <f>IF(N57="","",N57/(1+'General inputs'!$H$32)^C57)</f>
        <v/>
      </c>
      <c r="P57" s="199"/>
      <c r="Q57" s="88"/>
      <c r="R57" s="83" t="str">
        <f>IF(OR(LEFT(D57,4)*1&lt;LEFT('General inputs'!$I$16,4)*1,LEFT(D57,4)*1&gt;LEFT('General inputs'!$I$16,4)+'General inputs'!$H$38-1),"",Q57/(1+'General inputs'!$H$34)^C57)</f>
        <v/>
      </c>
      <c r="S57" s="199"/>
      <c r="T57" s="88"/>
      <c r="U57" s="83" t="str">
        <f>IF(OR(LEFT(D57,4)*1&lt;LEFT('General inputs'!$I$16,4)*1,LEFT(D57,4)*1&gt;LEFT('General inputs'!$I$16,4)+'General inputs'!$H$38-1),"",T57/(1+'General inputs'!$H$34)^C57)</f>
        <v/>
      </c>
      <c r="V57" s="55"/>
      <c r="W57" s="199"/>
      <c r="X57" s="38"/>
      <c r="Y57" s="38"/>
      <c r="Z57" s="38"/>
    </row>
    <row r="58" spans="2:26">
      <c r="B58" s="54"/>
      <c r="C58" s="28">
        <f>IF(D58='General inputs'!$I$16,0,IF(D58&lt;'General inputs'!$I$16,C59-1,C57+1))</f>
        <v>-10</v>
      </c>
      <c r="D58" s="28" t="str">
        <f t="shared" si="1"/>
        <v>2014-15</v>
      </c>
      <c r="E58" s="83">
        <f>IF(LEFT(D58,4)*1&gt;LEFT('General inputs'!$I$16,4)+'General inputs'!$H$38-1,"",'ET inputs'!D31)</f>
        <v>0</v>
      </c>
      <c r="F58" s="83">
        <f>IF(LEFT(D58,4)*1&gt;LEFT('General inputs'!$I$16,4)+'General inputs'!$H$38-1,"",E58/(1+'General inputs'!$H$30)^C58)</f>
        <v>0</v>
      </c>
      <c r="G58" s="83">
        <f>IF(LEFT(D58,4)*1&gt;LEFT('General inputs'!$I$16,4)+'General inputs'!$H$38-1,"",E58/(1+'General inputs'!$H$32)^C58)</f>
        <v>0</v>
      </c>
      <c r="H58" s="83" t="str">
        <f>IF(LEFT(D58,4)*1&lt;LEFT('General inputs'!$I$16,4)*1,"",IF(LEFT(D58,4)*1&gt;LEFT('General inputs'!$I$16,4)+'General inputs'!$H$38-1,"",E58/(1+'General inputs'!$H$34)^C58))</f>
        <v/>
      </c>
      <c r="I58" s="199"/>
      <c r="J58" s="113"/>
      <c r="K58" s="113"/>
      <c r="L58" s="83">
        <f>IF(LEFT(D58,4)*1&gt;LEFT('General inputs'!$I$18,4)*1,"",SUMIF('Post-1996 commissioned assets'!$F$22:$F$218,$D58,'Post-1996 commissioned assets'!$P$22:$P$218))</f>
        <v>0</v>
      </c>
      <c r="M58" s="83">
        <f>IF(L58="","",L58/(1+'General inputs'!$H$32)^C58)</f>
        <v>0</v>
      </c>
      <c r="N58" s="83" t="str">
        <f>IF(LEFT(D58,4)*1&lt;LEFT('General inputs'!$I$18,4)*1+1,"",SUMIF('Uncommissioned assets'!$F$22:$F$495,$D58,'Uncommissioned assets'!$P$22:$P$495))</f>
        <v/>
      </c>
      <c r="O58" s="83" t="str">
        <f>IF(N58="","",N58/(1+'General inputs'!$H$32)^C58)</f>
        <v/>
      </c>
      <c r="P58" s="199"/>
      <c r="Q58" s="88"/>
      <c r="R58" s="83" t="str">
        <f>IF(OR(LEFT(D58,4)*1&lt;LEFT('General inputs'!$I$16,4)*1,LEFT(D58,4)*1&gt;LEFT('General inputs'!$I$16,4)+'General inputs'!$H$38-1),"",Q58/(1+'General inputs'!$H$34)^C58)</f>
        <v/>
      </c>
      <c r="S58" s="199"/>
      <c r="T58" s="88"/>
      <c r="U58" s="83" t="str">
        <f>IF(OR(LEFT(D58,4)*1&lt;LEFT('General inputs'!$I$16,4)*1,LEFT(D58,4)*1&gt;LEFT('General inputs'!$I$16,4)+'General inputs'!$H$38-1),"",T58/(1+'General inputs'!$H$34)^C58)</f>
        <v/>
      </c>
      <c r="V58" s="55"/>
      <c r="W58" s="199"/>
      <c r="X58" s="38"/>
      <c r="Y58" s="38"/>
      <c r="Z58" s="38"/>
    </row>
    <row r="59" spans="2:26">
      <c r="B59" s="54"/>
      <c r="C59" s="28">
        <f>IF(D59='General inputs'!$I$16,0,IF(D59&lt;'General inputs'!$I$16,C60-1,C58+1))</f>
        <v>-9</v>
      </c>
      <c r="D59" s="28" t="str">
        <f t="shared" si="1"/>
        <v>2015-16</v>
      </c>
      <c r="E59" s="83">
        <f>IF(LEFT(D59,4)*1&gt;LEFT('General inputs'!$I$16,4)+'General inputs'!$H$38-1,"",'ET inputs'!D32)</f>
        <v>0</v>
      </c>
      <c r="F59" s="83">
        <f>IF(LEFT(D59,4)*1&gt;LEFT('General inputs'!$I$16,4)+'General inputs'!$H$38-1,"",E59/(1+'General inputs'!$H$30)^C59)</f>
        <v>0</v>
      </c>
      <c r="G59" s="83">
        <f>IF(LEFT(D59,4)*1&gt;LEFT('General inputs'!$I$16,4)+'General inputs'!$H$38-1,"",E59/(1+'General inputs'!$H$32)^C59)</f>
        <v>0</v>
      </c>
      <c r="H59" s="83" t="str">
        <f>IF(LEFT(D59,4)*1&lt;LEFT('General inputs'!$I$16,4)*1,"",IF(LEFT(D59,4)*1&gt;LEFT('General inputs'!$I$16,4)+'General inputs'!$H$38-1,"",E59/(1+'General inputs'!$H$34)^C59))</f>
        <v/>
      </c>
      <c r="I59" s="199"/>
      <c r="J59" s="113"/>
      <c r="K59" s="113"/>
      <c r="L59" s="83">
        <f>IF(LEFT(D59,4)*1&gt;LEFT('General inputs'!$I$18,4)*1,"",SUMIF('Post-1996 commissioned assets'!$F$22:$F$218,$D59,'Post-1996 commissioned assets'!$P$22:$P$218))</f>
        <v>0</v>
      </c>
      <c r="M59" s="83">
        <f>IF(L59="","",L59/(1+'General inputs'!$H$32)^C59)</f>
        <v>0</v>
      </c>
      <c r="N59" s="83" t="str">
        <f>IF(LEFT(D59,4)*1&lt;LEFT('General inputs'!$I$18,4)*1+1,"",SUMIF('Uncommissioned assets'!$F$22:$F$495,$D59,'Uncommissioned assets'!$P$22:$P$495))</f>
        <v/>
      </c>
      <c r="O59" s="83" t="str">
        <f>IF(N59="","",N59/(1+'General inputs'!$H$32)^C59)</f>
        <v/>
      </c>
      <c r="P59" s="199"/>
      <c r="Q59" s="88"/>
      <c r="R59" s="83" t="str">
        <f>IF(OR(LEFT(D59,4)*1&lt;LEFT('General inputs'!$I$16,4)*1,LEFT(D59,4)*1&gt;LEFT('General inputs'!$I$16,4)+'General inputs'!$H$38-1),"",Q59/(1+'General inputs'!$H$34)^C59)</f>
        <v/>
      </c>
      <c r="S59" s="199"/>
      <c r="T59" s="88"/>
      <c r="U59" s="83" t="str">
        <f>IF(OR(LEFT(D59,4)*1&lt;LEFT('General inputs'!$I$16,4)*1,LEFT(D59,4)*1&gt;LEFT('General inputs'!$I$16,4)+'General inputs'!$H$38-1),"",T59/(1+'General inputs'!$H$34)^C59)</f>
        <v/>
      </c>
      <c r="V59" s="55"/>
      <c r="W59" s="199"/>
      <c r="X59" s="38"/>
      <c r="Y59" s="38"/>
      <c r="Z59" s="38"/>
    </row>
    <row r="60" spans="2:26">
      <c r="B60" s="54"/>
      <c r="C60" s="28">
        <f>IF(D60='General inputs'!$I$16,0,IF(D60&lt;'General inputs'!$I$16,C61-1,C59+1))</f>
        <v>-8</v>
      </c>
      <c r="D60" s="28" t="str">
        <f t="shared" si="1"/>
        <v>2016-17</v>
      </c>
      <c r="E60" s="83">
        <f>IF(LEFT(D60,4)*1&gt;LEFT('General inputs'!$I$16,4)+'General inputs'!$H$38-1,"",'ET inputs'!D33)</f>
        <v>0</v>
      </c>
      <c r="F60" s="83">
        <f>IF(LEFT(D60,4)*1&gt;LEFT('General inputs'!$I$16,4)+'General inputs'!$H$38-1,"",E60/(1+'General inputs'!$H$30)^C60)</f>
        <v>0</v>
      </c>
      <c r="G60" s="83">
        <f>IF(LEFT(D60,4)*1&gt;LEFT('General inputs'!$I$16,4)+'General inputs'!$H$38-1,"",E60/(1+'General inputs'!$H$32)^C60)</f>
        <v>0</v>
      </c>
      <c r="H60" s="83" t="str">
        <f>IF(LEFT(D60,4)*1&lt;LEFT('General inputs'!$I$16,4)*1,"",IF(LEFT(D60,4)*1&gt;LEFT('General inputs'!$I$16,4)+'General inputs'!$H$38-1,"",E60/(1+'General inputs'!$H$34)^C60))</f>
        <v/>
      </c>
      <c r="I60" s="199"/>
      <c r="J60" s="113"/>
      <c r="K60" s="113"/>
      <c r="L60" s="83">
        <f>IF(LEFT(D60,4)*1&gt;LEFT('General inputs'!$I$18,4)*1,"",SUMIF('Post-1996 commissioned assets'!$F$22:$F$218,$D60,'Post-1996 commissioned assets'!$P$22:$P$218))</f>
        <v>0</v>
      </c>
      <c r="M60" s="83">
        <f>IF(L60="","",L60/(1+'General inputs'!$H$32)^C60)</f>
        <v>0</v>
      </c>
      <c r="N60" s="83" t="str">
        <f>IF(LEFT(D60,4)*1&lt;LEFT('General inputs'!$I$18,4)*1+1,"",SUMIF('Uncommissioned assets'!$F$22:$F$495,$D60,'Uncommissioned assets'!$P$22:$P$495))</f>
        <v/>
      </c>
      <c r="O60" s="83" t="str">
        <f>IF(N60="","",N60/(1+'General inputs'!$H$32)^C60)</f>
        <v/>
      </c>
      <c r="P60" s="199"/>
      <c r="Q60" s="88"/>
      <c r="R60" s="83" t="str">
        <f>IF(OR(LEFT(D60,4)*1&lt;LEFT('General inputs'!$I$16,4)*1,LEFT(D60,4)*1&gt;LEFT('General inputs'!$I$16,4)+'General inputs'!$H$38-1),"",Q60/(1+'General inputs'!$H$34)^C60)</f>
        <v/>
      </c>
      <c r="S60" s="199"/>
      <c r="T60" s="88"/>
      <c r="U60" s="83" t="str">
        <f>IF(OR(LEFT(D60,4)*1&lt;LEFT('General inputs'!$I$16,4)*1,LEFT(D60,4)*1&gt;LEFT('General inputs'!$I$16,4)+'General inputs'!$H$38-1),"",T60/(1+'General inputs'!$H$34)^C60)</f>
        <v/>
      </c>
      <c r="V60" s="55"/>
      <c r="W60" s="199"/>
      <c r="X60" s="38"/>
      <c r="Y60" s="38"/>
      <c r="Z60" s="38"/>
    </row>
    <row r="61" spans="2:26">
      <c r="B61" s="54"/>
      <c r="C61" s="28">
        <f>IF(D61='General inputs'!$I$16,0,IF(D61&lt;'General inputs'!$I$16,C62-1,C60+1))</f>
        <v>-7</v>
      </c>
      <c r="D61" s="28" t="str">
        <f t="shared" si="1"/>
        <v>2017-18</v>
      </c>
      <c r="E61" s="83">
        <f>IF(LEFT(D61,4)*1&gt;LEFT('General inputs'!$I$16,4)+'General inputs'!$H$38-1,"",'ET inputs'!D34)</f>
        <v>0</v>
      </c>
      <c r="F61" s="83">
        <f>IF(LEFT(D61,4)*1&gt;LEFT('General inputs'!$I$16,4)+'General inputs'!$H$38-1,"",E61/(1+'General inputs'!$H$30)^C61)</f>
        <v>0</v>
      </c>
      <c r="G61" s="83">
        <f>IF(LEFT(D61,4)*1&gt;LEFT('General inputs'!$I$16,4)+'General inputs'!$H$38-1,"",E61/(1+'General inputs'!$H$32)^C61)</f>
        <v>0</v>
      </c>
      <c r="H61" s="83" t="str">
        <f>IF(LEFT(D61,4)*1&lt;LEFT('General inputs'!$I$16,4)*1,"",IF(LEFT(D61,4)*1&gt;LEFT('General inputs'!$I$16,4)+'General inputs'!$H$38-1,"",E61/(1+'General inputs'!$H$34)^C61))</f>
        <v/>
      </c>
      <c r="I61" s="199"/>
      <c r="J61" s="113"/>
      <c r="K61" s="113"/>
      <c r="L61" s="83">
        <f>IF(LEFT(D61,4)*1&gt;LEFT('General inputs'!$I$18,4)*1,"",SUMIF('Post-1996 commissioned assets'!$F$22:$F$218,$D61,'Post-1996 commissioned assets'!$P$22:$P$218))</f>
        <v>0</v>
      </c>
      <c r="M61" s="83">
        <f>IF(L61="","",L61/(1+'General inputs'!$H$32)^C61)</f>
        <v>0</v>
      </c>
      <c r="N61" s="83" t="str">
        <f>IF(LEFT(D61,4)*1&lt;LEFT('General inputs'!$I$18,4)*1+1,"",SUMIF('Uncommissioned assets'!$F$22:$F$495,$D61,'Uncommissioned assets'!$P$22:$P$495))</f>
        <v/>
      </c>
      <c r="O61" s="83" t="str">
        <f>IF(N61="","",N61/(1+'General inputs'!$H$32)^C61)</f>
        <v/>
      </c>
      <c r="P61" s="199"/>
      <c r="Q61" s="88"/>
      <c r="R61" s="83" t="str">
        <f>IF(OR(LEFT(D61,4)*1&lt;LEFT('General inputs'!$I$16,4)*1,LEFT(D61,4)*1&gt;LEFT('General inputs'!$I$16,4)+'General inputs'!$H$38-1),"",Q61/(1+'General inputs'!$H$34)^C61)</f>
        <v/>
      </c>
      <c r="S61" s="199"/>
      <c r="T61" s="88"/>
      <c r="U61" s="83" t="str">
        <f>IF(OR(LEFT(D61,4)*1&lt;LEFT('General inputs'!$I$16,4)*1,LEFT(D61,4)*1&gt;LEFT('General inputs'!$I$16,4)+'General inputs'!$H$38-1),"",T61/(1+'General inputs'!$H$34)^C61)</f>
        <v/>
      </c>
      <c r="V61" s="55"/>
      <c r="W61" s="199"/>
      <c r="X61" s="199"/>
      <c r="Y61" s="199"/>
      <c r="Z61" s="199"/>
    </row>
    <row r="62" spans="2:26">
      <c r="B62" s="54"/>
      <c r="C62" s="28">
        <f>IF(D62='General inputs'!$I$16,0,IF(D62&lt;'General inputs'!$I$16,C63-1,C61+1))</f>
        <v>-6</v>
      </c>
      <c r="D62" s="28" t="str">
        <f t="shared" si="1"/>
        <v>2018-19</v>
      </c>
      <c r="E62" s="83">
        <f>IF(LEFT(D62,4)*1&gt;LEFT('General inputs'!$I$16,4)+'General inputs'!$H$38-1,"",'ET inputs'!D35)</f>
        <v>0</v>
      </c>
      <c r="F62" s="83">
        <f>IF(LEFT(D62,4)*1&gt;LEFT('General inputs'!$I$16,4)+'General inputs'!$H$38-1,"",E62/(1+'General inputs'!$H$30)^C62)</f>
        <v>0</v>
      </c>
      <c r="G62" s="83">
        <f>IF(LEFT(D62,4)*1&gt;LEFT('General inputs'!$I$16,4)+'General inputs'!$H$38-1,"",E62/(1+'General inputs'!$H$32)^C62)</f>
        <v>0</v>
      </c>
      <c r="H62" s="83" t="str">
        <f>IF(LEFT(D62,4)*1&lt;LEFT('General inputs'!$I$16,4)*1,"",IF(LEFT(D62,4)*1&gt;LEFT('General inputs'!$I$16,4)+'General inputs'!$H$38-1,"",E62/(1+'General inputs'!$H$34)^C62))</f>
        <v/>
      </c>
      <c r="I62" s="199"/>
      <c r="J62" s="113"/>
      <c r="K62" s="113"/>
      <c r="L62" s="83">
        <f>IF(LEFT(D62,4)*1&gt;LEFT('General inputs'!$I$18,4)*1,"",SUMIF('Post-1996 commissioned assets'!$F$22:$F$218,$D62,'Post-1996 commissioned assets'!$P$22:$P$218))</f>
        <v>0</v>
      </c>
      <c r="M62" s="83">
        <f>IF(L62="","",L62/(1+'General inputs'!$H$32)^C62)</f>
        <v>0</v>
      </c>
      <c r="N62" s="83" t="str">
        <f>IF(LEFT(D62,4)*1&lt;LEFT('General inputs'!$I$18,4)*1+1,"",SUMIF('Uncommissioned assets'!$F$22:$F$495,$D62,'Uncommissioned assets'!$P$22:$P$495))</f>
        <v/>
      </c>
      <c r="O62" s="83" t="str">
        <f>IF(N62="","",N62/(1+'General inputs'!$H$32)^C62)</f>
        <v/>
      </c>
      <c r="P62" s="199"/>
      <c r="Q62" s="88"/>
      <c r="R62" s="83" t="str">
        <f>IF(OR(LEFT(D62,4)*1&lt;LEFT('General inputs'!$I$16,4)*1,LEFT(D62,4)*1&gt;LEFT('General inputs'!$I$16,4)+'General inputs'!$H$38-1),"",Q62/(1+'General inputs'!$H$34)^C62)</f>
        <v/>
      </c>
      <c r="S62" s="199"/>
      <c r="T62" s="88"/>
      <c r="U62" s="83" t="str">
        <f>IF(OR(LEFT(D62,4)*1&lt;LEFT('General inputs'!$I$16,4)*1,LEFT(D62,4)*1&gt;LEFT('General inputs'!$I$16,4)+'General inputs'!$H$38-1),"",T62/(1+'General inputs'!$H$34)^C62)</f>
        <v/>
      </c>
      <c r="V62" s="55"/>
      <c r="W62" s="199"/>
      <c r="X62" s="199"/>
      <c r="Y62" s="199"/>
      <c r="Z62" s="199"/>
    </row>
    <row r="63" spans="2:26">
      <c r="B63" s="54"/>
      <c r="C63" s="28">
        <f>IF(D63='General inputs'!$I$16,0,IF(D63&lt;'General inputs'!$I$16,C64-1,C62+1))</f>
        <v>-5</v>
      </c>
      <c r="D63" s="28" t="str">
        <f t="shared" si="1"/>
        <v>2019-20</v>
      </c>
      <c r="E63" s="83">
        <f>IF(LEFT(D63,4)*1&gt;LEFT('General inputs'!$I$16,4)+'General inputs'!$H$38-1,"",'ET inputs'!D36)</f>
        <v>0</v>
      </c>
      <c r="F63" s="83">
        <f>IF(LEFT(D63,4)*1&gt;LEFT('General inputs'!$I$16,4)+'General inputs'!$H$38-1,"",E63/(1+'General inputs'!$H$30)^C63)</f>
        <v>0</v>
      </c>
      <c r="G63" s="83">
        <f>IF(LEFT(D63,4)*1&gt;LEFT('General inputs'!$I$16,4)+'General inputs'!$H$38-1,"",E63/(1+'General inputs'!$H$32)^C63)</f>
        <v>0</v>
      </c>
      <c r="H63" s="83" t="str">
        <f>IF(LEFT(D63,4)*1&lt;LEFT('General inputs'!$I$16,4)*1,"",IF(LEFT(D63,4)*1&gt;LEFT('General inputs'!$I$16,4)+'General inputs'!$H$38-1,"",E63/(1+'General inputs'!$H$34)^C63))</f>
        <v/>
      </c>
      <c r="I63" s="199"/>
      <c r="J63" s="113"/>
      <c r="K63" s="113"/>
      <c r="L63" s="83">
        <f>IF(LEFT(D63,4)*1&gt;LEFT('General inputs'!$I$18,4)*1,"",SUMIF('Post-1996 commissioned assets'!$F$22:$F$218,$D63,'Post-1996 commissioned assets'!$P$22:$P$218))</f>
        <v>0</v>
      </c>
      <c r="M63" s="83">
        <f>IF(L63="","",L63/(1+'General inputs'!$H$32)^C63)</f>
        <v>0</v>
      </c>
      <c r="N63" s="83" t="str">
        <f>IF(LEFT(D63,4)*1&lt;LEFT('General inputs'!$I$18,4)*1+1,"",SUMIF('Uncommissioned assets'!$F$22:$F$495,$D63,'Uncommissioned assets'!$P$22:$P$495))</f>
        <v/>
      </c>
      <c r="O63" s="83" t="str">
        <f>IF(N63="","",N63/(1+'General inputs'!$H$32)^C63)</f>
        <v/>
      </c>
      <c r="P63" s="199"/>
      <c r="Q63" s="88"/>
      <c r="R63" s="83" t="str">
        <f>IF(OR(LEFT(D63,4)*1&lt;LEFT('General inputs'!$I$16,4)*1,LEFT(D63,4)*1&gt;LEFT('General inputs'!$I$16,4)+'General inputs'!$H$38-1),"",Q63/(1+'General inputs'!$H$34)^C63)</f>
        <v/>
      </c>
      <c r="S63" s="199"/>
      <c r="T63" s="88"/>
      <c r="U63" s="83" t="str">
        <f>IF(OR(LEFT(D63,4)*1&lt;LEFT('General inputs'!$I$16,4)*1,LEFT(D63,4)*1&gt;LEFT('General inputs'!$I$16,4)+'General inputs'!$H$38-1),"",T63/(1+'General inputs'!$H$34)^C63)</f>
        <v/>
      </c>
      <c r="V63" s="55"/>
      <c r="W63" s="199"/>
      <c r="X63" s="199"/>
      <c r="Y63" s="199"/>
      <c r="Z63" s="199"/>
    </row>
    <row r="64" spans="2:26">
      <c r="B64" s="54"/>
      <c r="C64" s="28">
        <f>IF(D64='General inputs'!$I$16,0,IF(D64&lt;'General inputs'!$I$16,C65-1,C63+1))</f>
        <v>-4</v>
      </c>
      <c r="D64" s="28" t="str">
        <f t="shared" si="1"/>
        <v>2020-21</v>
      </c>
      <c r="E64" s="83">
        <f>IF(LEFT(D64,4)*1&gt;LEFT('General inputs'!$I$16,4)+'General inputs'!$H$38-1,"",'ET inputs'!D37)</f>
        <v>0</v>
      </c>
      <c r="F64" s="83">
        <f>IF(LEFT(D64,4)*1&gt;LEFT('General inputs'!$I$16,4)+'General inputs'!$H$38-1,"",E64/(1+'General inputs'!$H$30)^C64)</f>
        <v>0</v>
      </c>
      <c r="G64" s="83">
        <f>IF(LEFT(D64,4)*1&gt;LEFT('General inputs'!$I$16,4)+'General inputs'!$H$38-1,"",E64/(1+'General inputs'!$H$32)^C64)</f>
        <v>0</v>
      </c>
      <c r="H64" s="83" t="str">
        <f>IF(LEFT(D64,4)*1&lt;LEFT('General inputs'!$I$16,4)*1,"",IF(LEFT(D64,4)*1&gt;LEFT('General inputs'!$I$16,4)+'General inputs'!$H$38-1,"",E64/(1+'General inputs'!$H$34)^C64))</f>
        <v/>
      </c>
      <c r="I64" s="199"/>
      <c r="J64" s="113"/>
      <c r="K64" s="113"/>
      <c r="L64" s="83">
        <f>IF(LEFT(D64,4)*1&gt;LEFT('General inputs'!$I$18,4)*1,"",SUMIF('Post-1996 commissioned assets'!$F$22:$F$218,$D64,'Post-1996 commissioned assets'!$P$22:$P$218))</f>
        <v>0</v>
      </c>
      <c r="M64" s="83">
        <f>IF(L64="","",L64/(1+'General inputs'!$H$32)^C64)</f>
        <v>0</v>
      </c>
      <c r="N64" s="83" t="str">
        <f>IF(LEFT(D64,4)*1&lt;LEFT('General inputs'!$I$18,4)*1+1,"",SUMIF('Uncommissioned assets'!$F$22:$F$495,$D64,'Uncommissioned assets'!$P$22:$P$495))</f>
        <v/>
      </c>
      <c r="O64" s="83" t="str">
        <f>IF(N64="","",N64/(1+'General inputs'!$H$32)^C64)</f>
        <v/>
      </c>
      <c r="P64" s="199"/>
      <c r="Q64" s="88"/>
      <c r="R64" s="83" t="str">
        <f>IF(OR(LEFT(D64,4)*1&lt;LEFT('General inputs'!$I$16,4)*1,LEFT(D64,4)*1&gt;LEFT('General inputs'!$I$16,4)+'General inputs'!$H$38-1),"",Q64/(1+'General inputs'!$H$34)^C64)</f>
        <v/>
      </c>
      <c r="S64" s="199"/>
      <c r="T64" s="88"/>
      <c r="U64" s="83" t="str">
        <f>IF(OR(LEFT(D64,4)*1&lt;LEFT('General inputs'!$I$16,4)*1,LEFT(D64,4)*1&gt;LEFT('General inputs'!$I$16,4)+'General inputs'!$H$38-1),"",T64/(1+'General inputs'!$H$34)^C64)</f>
        <v/>
      </c>
      <c r="V64" s="55"/>
      <c r="W64" s="199"/>
      <c r="X64" s="199"/>
      <c r="Y64" s="199"/>
      <c r="Z64" s="199"/>
    </row>
    <row r="65" spans="2:23">
      <c r="B65" s="54"/>
      <c r="C65" s="28">
        <f>IF(D65='General inputs'!$I$16,0,IF(D65&lt;'General inputs'!$I$16,C66-1,C64+1))</f>
        <v>-3</v>
      </c>
      <c r="D65" s="28" t="str">
        <f t="shared" si="1"/>
        <v>2021-22</v>
      </c>
      <c r="E65" s="83">
        <f>IF(LEFT(D65,4)*1&gt;LEFT('General inputs'!$I$16,4)+'General inputs'!$H$38-1,"",'ET inputs'!D38)</f>
        <v>0</v>
      </c>
      <c r="F65" s="83">
        <f>IF(LEFT(D65,4)*1&gt;LEFT('General inputs'!$I$16,4)+'General inputs'!$H$38-1,"",E65/(1+'General inputs'!$H$30)^C65)</f>
        <v>0</v>
      </c>
      <c r="G65" s="83">
        <f>IF(LEFT(D65,4)*1&gt;LEFT('General inputs'!$I$16,4)+'General inputs'!$H$38-1,"",E65/(1+'General inputs'!$H$32)^C65)</f>
        <v>0</v>
      </c>
      <c r="H65" s="83" t="str">
        <f>IF(LEFT(D65,4)*1&lt;LEFT('General inputs'!$I$16,4)*1,"",IF(LEFT(D65,4)*1&gt;LEFT('General inputs'!$I$16,4)+'General inputs'!$H$38-1,"",E65/(1+'General inputs'!$H$34)^C65))</f>
        <v/>
      </c>
      <c r="I65" s="199"/>
      <c r="J65" s="113"/>
      <c r="K65" s="113"/>
      <c r="L65" s="83">
        <f ca="1">IF(LEFT(D65,4)*1&gt;LEFT('General inputs'!$I$18,4)*1,"",SUMIF('Post-1996 commissioned assets'!$F$22:$F$218,$D65,'Post-1996 commissioned assets'!$P$22:$P$218))</f>
        <v>416393.08158835105</v>
      </c>
      <c r="M65" s="83">
        <f ca="1">IF(L65="","",L65/(1+'General inputs'!$H$32)^C65)</f>
        <v>471093.0117868777</v>
      </c>
      <c r="N65" s="83" t="str">
        <f>IF(LEFT(D65,4)*1&lt;LEFT('General inputs'!$I$18,4)*1+1,"",SUMIF('Uncommissioned assets'!$F$22:$F$495,$D65,'Uncommissioned assets'!$P$22:$P$495))</f>
        <v/>
      </c>
      <c r="O65" s="83" t="str">
        <f>IF(N65="","",N65/(1+'General inputs'!$H$32)^C65)</f>
        <v/>
      </c>
      <c r="P65" s="199"/>
      <c r="Q65" s="88"/>
      <c r="R65" s="83" t="str">
        <f>IF(OR(LEFT(D65,4)*1&lt;LEFT('General inputs'!$I$16,4)*1,LEFT(D65,4)*1&gt;LEFT('General inputs'!$I$16,4)+'General inputs'!$H$38-1),"",Q65/(1+'General inputs'!$H$34)^C65)</f>
        <v/>
      </c>
      <c r="S65" s="199"/>
      <c r="T65" s="88"/>
      <c r="U65" s="83" t="str">
        <f>IF(OR(LEFT(D65,4)*1&lt;LEFT('General inputs'!$I$16,4)*1,LEFT(D65,4)*1&gt;LEFT('General inputs'!$I$16,4)+'General inputs'!$H$38-1),"",T65/(1+'General inputs'!$H$34)^C65)</f>
        <v/>
      </c>
      <c r="V65" s="55"/>
      <c r="W65" s="199"/>
    </row>
    <row r="66" spans="2:23">
      <c r="B66" s="54"/>
      <c r="C66" s="28">
        <f>IF(D66='General inputs'!$I$16,0,IF(D66&lt;'General inputs'!$I$16,C67-1,C65+1))</f>
        <v>-2</v>
      </c>
      <c r="D66" s="28" t="str">
        <f t="shared" si="1"/>
        <v>2022-23</v>
      </c>
      <c r="E66" s="83">
        <f>IF(LEFT(D66,4)*1&gt;LEFT('General inputs'!$I$16,4)+'General inputs'!$H$38-1,"",'ET inputs'!D39)</f>
        <v>0</v>
      </c>
      <c r="F66" s="83">
        <f>IF(LEFT(D66,4)*1&gt;LEFT('General inputs'!$I$16,4)+'General inputs'!$H$38-1,"",E66/(1+'General inputs'!$H$30)^C66)</f>
        <v>0</v>
      </c>
      <c r="G66" s="83">
        <f>IF(LEFT(D66,4)*1&gt;LEFT('General inputs'!$I$16,4)+'General inputs'!$H$38-1,"",E66/(1+'General inputs'!$H$32)^C66)</f>
        <v>0</v>
      </c>
      <c r="H66" s="83" t="str">
        <f>IF(LEFT(D66,4)*1&lt;LEFT('General inputs'!$I$16,4)*1,"",IF(LEFT(D66,4)*1&gt;LEFT('General inputs'!$I$16,4)+'General inputs'!$H$38-1,"",E66/(1+'General inputs'!$H$34)^C66))</f>
        <v/>
      </c>
      <c r="I66" s="199"/>
      <c r="J66" s="113"/>
      <c r="K66" s="113"/>
      <c r="L66" s="83">
        <f ca="1">IF(LEFT(D66,4)*1&gt;LEFT('General inputs'!$I$18,4)*1,"",SUMIF('Post-1996 commissioned assets'!$F$22:$F$218,$D66,'Post-1996 commissioned assets'!$P$22:$P$218))</f>
        <v>813740.25765705958</v>
      </c>
      <c r="M66" s="83">
        <f ca="1">IF(L66="","",L66/(1+'General inputs'!$H$32)^C66)</f>
        <v>883529.87711475976</v>
      </c>
      <c r="N66" s="83" t="str">
        <f>IF(LEFT(D66,4)*1&lt;LEFT('General inputs'!$I$18,4)*1+1,"",SUMIF('Uncommissioned assets'!$F$22:$F$495,$D66,'Uncommissioned assets'!$P$22:$P$495))</f>
        <v/>
      </c>
      <c r="O66" s="83" t="str">
        <f>IF(N66="","",N66/(1+'General inputs'!$H$32)^C66)</f>
        <v/>
      </c>
      <c r="P66" s="199"/>
      <c r="Q66" s="88"/>
      <c r="R66" s="83" t="str">
        <f>IF(OR(LEFT(D66,4)*1&lt;LEFT('General inputs'!$I$16,4)*1,LEFT(D66,4)*1&gt;LEFT('General inputs'!$I$16,4)+'General inputs'!$H$38-1),"",Q66/(1+'General inputs'!$H$34)^C66)</f>
        <v/>
      </c>
      <c r="S66" s="199"/>
      <c r="T66" s="88"/>
      <c r="U66" s="83" t="str">
        <f>IF(OR(LEFT(D66,4)*1&lt;LEFT('General inputs'!$I$16,4)*1,LEFT(D66,4)*1&gt;LEFT('General inputs'!$I$16,4)+'General inputs'!$H$38-1),"",T66/(1+'General inputs'!$H$34)^C66)</f>
        <v/>
      </c>
      <c r="V66" s="55"/>
      <c r="W66" s="199"/>
    </row>
    <row r="67" spans="2:23">
      <c r="B67" s="54"/>
      <c r="C67" s="28">
        <f>IF(D67='General inputs'!$I$16,0,IF(D67&lt;'General inputs'!$I$16,C68-1,C66+1))</f>
        <v>-1</v>
      </c>
      <c r="D67" s="28" t="str">
        <f t="shared" si="1"/>
        <v>2023-24</v>
      </c>
      <c r="E67" s="83">
        <f>IF(LEFT(D67,4)*1&gt;LEFT('General inputs'!$I$16,4)+'General inputs'!$H$38-1,"",'ET inputs'!D40)</f>
        <v>0</v>
      </c>
      <c r="F67" s="83">
        <f>IF(LEFT(D67,4)*1&gt;LEFT('General inputs'!$I$16,4)+'General inputs'!$H$38-1,"",E67/(1+'General inputs'!$H$30)^C67)</f>
        <v>0</v>
      </c>
      <c r="G67" s="83">
        <f>IF(LEFT(D67,4)*1&gt;LEFT('General inputs'!$I$16,4)+'General inputs'!$H$38-1,"",E67/(1+'General inputs'!$H$32)^C67)</f>
        <v>0</v>
      </c>
      <c r="H67" s="83" t="str">
        <f>IF(LEFT(D67,4)*1&lt;LEFT('General inputs'!$I$16,4)*1,"",IF(LEFT(D67,4)*1&gt;LEFT('General inputs'!$I$16,4)+'General inputs'!$H$38-1,"",E67/(1+'General inputs'!$H$34)^C67))</f>
        <v/>
      </c>
      <c r="I67" s="199"/>
      <c r="J67" s="113"/>
      <c r="K67" s="113"/>
      <c r="L67" s="83">
        <f ca="1">IF(LEFT(D67,4)*1&gt;LEFT('General inputs'!$I$18,4)*1,"",SUMIF('Post-1996 commissioned assets'!$F$22:$F$218,$D67,'Post-1996 commissioned assets'!$P$22:$P$218))</f>
        <v>8166812.9253945509</v>
      </c>
      <c r="M67" s="83">
        <f ca="1">IF(L67="","",L67/(1+'General inputs'!$H$32)^C67)</f>
        <v>8509819.0682611223</v>
      </c>
      <c r="N67" s="83" t="str">
        <f>IF(LEFT(D67,4)*1&lt;LEFT('General inputs'!$I$18,4)*1+1,"",SUMIF('Uncommissioned assets'!$F$22:$F$495,$D67,'Uncommissioned assets'!$P$22:$P$495))</f>
        <v/>
      </c>
      <c r="O67" s="83" t="str">
        <f>IF(N67="","",N67/(1+'General inputs'!$H$32)^C67)</f>
        <v/>
      </c>
      <c r="P67" s="199"/>
      <c r="Q67" s="88"/>
      <c r="R67" s="83" t="str">
        <f>IF(OR(LEFT(D67,4)*1&lt;LEFT('General inputs'!$I$16,4)*1,LEFT(D67,4)*1&gt;LEFT('General inputs'!$I$16,4)+'General inputs'!$H$38-1),"",Q67/(1+'General inputs'!$H$34)^C67)</f>
        <v/>
      </c>
      <c r="S67" s="199"/>
      <c r="T67" s="88"/>
      <c r="U67" s="83" t="str">
        <f>IF(OR(LEFT(D67,4)*1&lt;LEFT('General inputs'!$I$16,4)*1,LEFT(D67,4)*1&gt;LEFT('General inputs'!$I$16,4)+'General inputs'!$H$38-1),"",T67/(1+'General inputs'!$H$34)^C67)</f>
        <v/>
      </c>
      <c r="V67" s="55"/>
      <c r="W67" s="199"/>
    </row>
    <row r="68" spans="2:23">
      <c r="B68" s="54"/>
      <c r="C68" s="28">
        <f>IF(D68='General inputs'!$I$16,0,IF(D68&lt;'General inputs'!$I$16,C69-1,C67+1))</f>
        <v>0</v>
      </c>
      <c r="D68" s="28" t="str">
        <f t="shared" si="1"/>
        <v>2024-25</v>
      </c>
      <c r="E68" s="83">
        <f>IF(LEFT(D68,4)*1&gt;LEFT('General inputs'!$I$16,4)+'General inputs'!$H$38-1,"",'ET inputs'!D41)</f>
        <v>161.06018462447136</v>
      </c>
      <c r="F68" s="83">
        <f>IF(LEFT(D68,4)*1&gt;LEFT('General inputs'!$I$16,4)+'General inputs'!$H$38-1,"",E68/(1+'General inputs'!$H$30)^C68)</f>
        <v>161.06018462447136</v>
      </c>
      <c r="G68" s="83">
        <f>IF(LEFT(D68,4)*1&gt;LEFT('General inputs'!$I$16,4)+'General inputs'!$H$38-1,"",E68/(1+'General inputs'!$H$32)^C68)</f>
        <v>161.06018462447136</v>
      </c>
      <c r="H68" s="83">
        <f>IF(LEFT(D68,4)*1&lt;LEFT('General inputs'!$I$16,4)*1,"",IF(LEFT(D68,4)*1&gt;LEFT('General inputs'!$I$16,4)+'General inputs'!$H$38-1,"",E68/(1+'General inputs'!$H$34)^C68))</f>
        <v>161.06018462447136</v>
      </c>
      <c r="I68" s="199"/>
      <c r="J68" s="113"/>
      <c r="K68" s="113"/>
      <c r="L68" s="83" t="str">
        <f>IF(LEFT(D68,4)*1&gt;LEFT('General inputs'!$I$18,4)*1,"",SUMIF('Post-1996 commissioned assets'!$F$22:$F$218,$D68,'Post-1996 commissioned assets'!$P$22:$P$218))</f>
        <v/>
      </c>
      <c r="M68" s="83" t="str">
        <f>IF(L68="","",L68/(1+'General inputs'!$H$32)^C68)</f>
        <v/>
      </c>
      <c r="N68" s="83">
        <f>IF(LEFT(D68,4)*1&lt;LEFT('General inputs'!$I$18,4)*1+1,"",SUMIF('Uncommissioned assets'!$F$22:$F$495,$D68,'Uncommissioned assets'!$P$22:$P$495))</f>
        <v>23946829.256074075</v>
      </c>
      <c r="O68" s="83">
        <f>IF(N68="","",N68/(1+'General inputs'!$H$32)^C68)</f>
        <v>23946829.256074075</v>
      </c>
      <c r="P68" s="199"/>
      <c r="Q68" s="88">
        <f>W68*1000</f>
        <v>0</v>
      </c>
      <c r="R68" s="83">
        <f>IF(OR(LEFT(D68,4)*1&lt;LEFT('General inputs'!$I$16,4)*1,LEFT(D68,4)*1&gt;LEFT('General inputs'!$I$16,4)+'General inputs'!$H$38-1),"",Q68/(1+'General inputs'!$H$34)^C68)</f>
        <v>0</v>
      </c>
      <c r="S68" s="199"/>
      <c r="T68" s="88" cm="1">
        <f t="array" ref="T68:T97">TRANSPOSE('[1]Scenario 4 - Output'!$H$156:$AK$156)*1000</f>
        <v>345881.16186719999</v>
      </c>
      <c r="U68" s="83">
        <f>IF(OR(LEFT(D68,4)*1&lt;LEFT('General inputs'!$I$16,4)*1,LEFT(D68,4)*1&gt;LEFT('General inputs'!$I$16,4)+'General inputs'!$H$38-1),"",T68/(1+'General inputs'!$H$34)^C68)</f>
        <v>345881.16186719999</v>
      </c>
      <c r="V68" s="55"/>
      <c r="W68" s="199">
        <v>0</v>
      </c>
    </row>
    <row r="69" spans="2:23">
      <c r="B69" s="54"/>
      <c r="C69" s="28">
        <f>IF(D69='General inputs'!$I$16,0,IF(D69&lt;'General inputs'!$I$16,C70-1,C68+1))</f>
        <v>1</v>
      </c>
      <c r="D69" s="28" t="str">
        <f t="shared" si="1"/>
        <v>2025-26</v>
      </c>
      <c r="E69" s="83">
        <f>IF(LEFT(D69,4)*1&gt;LEFT('General inputs'!$I$16,4)+'General inputs'!$H$38-1,"",'ET inputs'!D42)</f>
        <v>1741.1542177971482</v>
      </c>
      <c r="F69" s="83">
        <f>IF(LEFT(D69,4)*1&gt;LEFT('General inputs'!$I$16,4)+'General inputs'!$H$38-1,"",E69/(1+'General inputs'!$H$30)^C69)</f>
        <v>1741.1542177971482</v>
      </c>
      <c r="G69" s="83">
        <f>IF(LEFT(D69,4)*1&gt;LEFT('General inputs'!$I$16,4)+'General inputs'!$H$38-1,"",E69/(1+'General inputs'!$H$32)^C69)</f>
        <v>1670.9733376172248</v>
      </c>
      <c r="H69" s="83">
        <f>IF(LEFT(D69,4)*1&lt;LEFT('General inputs'!$I$16,4)*1,"",IF(LEFT(D69,4)*1&gt;LEFT('General inputs'!$I$16,4)+'General inputs'!$H$38-1,"",E69/(1+'General inputs'!$H$34)^C69))</f>
        <v>1670.9733376172248</v>
      </c>
      <c r="I69" s="199"/>
      <c r="J69" s="113"/>
      <c r="K69" s="113"/>
      <c r="L69" s="83" t="str">
        <f>IF(LEFT(D69,4)*1&gt;LEFT('General inputs'!$I$18,4)*1,"",SUMIF('Post-1996 commissioned assets'!$F$22:$F$218,$D69,'Post-1996 commissioned assets'!$P$22:$P$218))</f>
        <v/>
      </c>
      <c r="M69" s="83" t="str">
        <f>IF(L69="","",L69/(1+'General inputs'!$H$32)^C69)</f>
        <v/>
      </c>
      <c r="N69" s="83">
        <f>IF(LEFT(D69,4)*1&lt;LEFT('General inputs'!$I$18,4)*1+1,"",SUMIF('Uncommissioned assets'!$F$22:$F$495,$D69,'Uncommissioned assets'!$P$22:$P$495))</f>
        <v>166385878.74634776</v>
      </c>
      <c r="O69" s="83">
        <f>IF(N69="","",N69/(1+'General inputs'!$H$32)^C69)</f>
        <v>159679346.20570803</v>
      </c>
      <c r="P69" s="199"/>
      <c r="Q69" s="88">
        <f t="shared" ref="Q69:Q97" si="3">W69*1000</f>
        <v>16758.698754619341</v>
      </c>
      <c r="R69" s="83">
        <f>IF(OR(LEFT(D69,4)*1&lt;LEFT('General inputs'!$I$16,4)*1,LEFT(D69,4)*1&gt;LEFT('General inputs'!$I$16,4)+'General inputs'!$H$38-1),"",Q69/(1+'General inputs'!$H$34)^C69)</f>
        <v>16083.204179097256</v>
      </c>
      <c r="S69" s="199"/>
      <c r="T69" s="88">
        <v>2249016.4407677092</v>
      </c>
      <c r="U69" s="83">
        <f>IF(OR(LEFT(D69,4)*1&lt;LEFT('General inputs'!$I$16,4)*1,LEFT(D69,4)*1&gt;LEFT('General inputs'!$I$16,4)+'General inputs'!$H$38-1),"",T69/(1+'General inputs'!$H$34)^C69)</f>
        <v>2158365.1063029836</v>
      </c>
      <c r="V69" s="55"/>
      <c r="W69" s="199">
        <v>16.758698754619342</v>
      </c>
    </row>
    <row r="70" spans="2:23">
      <c r="B70" s="54"/>
      <c r="C70" s="28">
        <f>IF(D70='General inputs'!$I$16,0,IF(D70&lt;'General inputs'!$I$16,C71-1,C69+1))</f>
        <v>2</v>
      </c>
      <c r="D70" s="28" t="str">
        <f t="shared" si="1"/>
        <v>2026-27</v>
      </c>
      <c r="E70" s="83">
        <f>IF(LEFT(D70,4)*1&gt;LEFT('General inputs'!$I$16,4)+'General inputs'!$H$38-1,"",'ET inputs'!D43)</f>
        <v>2368.7295461653066</v>
      </c>
      <c r="F70" s="83">
        <f>IF(LEFT(D70,4)*1&gt;LEFT('General inputs'!$I$16,4)+'General inputs'!$H$38-1,"",E70/(1+'General inputs'!$H$30)^C70)</f>
        <v>2368.7295461653066</v>
      </c>
      <c r="G70" s="83">
        <f>IF(LEFT(D70,4)*1&gt;LEFT('General inputs'!$I$16,4)+'General inputs'!$H$38-1,"",E70/(1+'General inputs'!$H$32)^C70)</f>
        <v>2181.6246865481876</v>
      </c>
      <c r="H70" s="83">
        <f>IF(LEFT(D70,4)*1&lt;LEFT('General inputs'!$I$16,4)*1,"",IF(LEFT(D70,4)*1&gt;LEFT('General inputs'!$I$16,4)+'General inputs'!$H$38-1,"",E70/(1+'General inputs'!$H$34)^C70))</f>
        <v>2181.6246865481876</v>
      </c>
      <c r="I70" s="199"/>
      <c r="J70" s="113"/>
      <c r="K70" s="113"/>
      <c r="L70" s="83" t="str">
        <f>IF(LEFT(D70,4)*1&gt;LEFT('General inputs'!$I$18,4)*1,"",SUMIF('Post-1996 commissioned assets'!$F$22:$F$218,$D70,'Post-1996 commissioned assets'!$P$22:$P$218))</f>
        <v/>
      </c>
      <c r="M70" s="83" t="str">
        <f>IF(L70="","",L70/(1+'General inputs'!$H$32)^C70)</f>
        <v/>
      </c>
      <c r="N70" s="83">
        <f>IF(LEFT(D70,4)*1&lt;LEFT('General inputs'!$I$18,4)*1+1,"",SUMIF('Uncommissioned assets'!$F$22:$F$495,$D70,'Uncommissioned assets'!$P$22:$P$495))</f>
        <v>218887025.67705283</v>
      </c>
      <c r="O70" s="83">
        <f>IF(N70="","",N70/(1+'General inputs'!$H$32)^C70)</f>
        <v>201597239.9868229</v>
      </c>
      <c r="P70" s="199"/>
      <c r="Q70" s="88">
        <f t="shared" si="3"/>
        <v>232141.82622153393</v>
      </c>
      <c r="R70" s="83">
        <f>IF(OR(LEFT(D70,4)*1&lt;LEFT('General inputs'!$I$16,4)*1,LEFT(D70,4)*1&gt;LEFT('General inputs'!$I$16,4)+'General inputs'!$H$38-1),"",Q70/(1+'General inputs'!$H$34)^C70)</f>
        <v>213805.04992017962</v>
      </c>
      <c r="S70" s="199"/>
      <c r="T70" s="88">
        <v>3804958.6689918055</v>
      </c>
      <c r="U70" s="83">
        <f>IF(OR(LEFT(D70,4)*1&lt;LEFT('General inputs'!$I$16,4)*1,LEFT(D70,4)*1&gt;LEFT('General inputs'!$I$16,4)+'General inputs'!$H$38-1),"",T70/(1+'General inputs'!$H$34)^C70)</f>
        <v>3504406.7301842803</v>
      </c>
      <c r="V70" s="55"/>
      <c r="W70" s="199">
        <v>232.14182622153393</v>
      </c>
    </row>
    <row r="71" spans="2:23">
      <c r="B71" s="54"/>
      <c r="C71" s="28">
        <f>IF(D71='General inputs'!$I$16,0,IF(D71&lt;'General inputs'!$I$16,C72-1,C70+1))</f>
        <v>3</v>
      </c>
      <c r="D71" s="28" t="str">
        <f t="shared" si="1"/>
        <v>2027-28</v>
      </c>
      <c r="E71" s="83">
        <f>IF(LEFT(D71,4)*1&gt;LEFT('General inputs'!$I$16,4)+'General inputs'!$H$38-1,"",'ET inputs'!D44)</f>
        <v>792.27683516532306</v>
      </c>
      <c r="F71" s="83">
        <f>IF(LEFT(D71,4)*1&gt;LEFT('General inputs'!$I$16,4)+'General inputs'!$H$38-1,"",E71/(1+'General inputs'!$H$30)^C71)</f>
        <v>792.27683516532306</v>
      </c>
      <c r="G71" s="83">
        <f>IF(LEFT(D71,4)*1&gt;LEFT('General inputs'!$I$16,4)+'General inputs'!$H$38-1,"",E71/(1+'General inputs'!$H$32)^C71)</f>
        <v>700.28335086999959</v>
      </c>
      <c r="H71" s="83">
        <f>IF(LEFT(D71,4)*1&lt;LEFT('General inputs'!$I$16,4)*1,"",IF(LEFT(D71,4)*1&gt;LEFT('General inputs'!$I$16,4)+'General inputs'!$H$38-1,"",E71/(1+'General inputs'!$H$34)^C71))</f>
        <v>700.28335086999959</v>
      </c>
      <c r="I71" s="199"/>
      <c r="J71" s="113"/>
      <c r="K71" s="113"/>
      <c r="L71" s="83" t="str">
        <f>IF(LEFT(D71,4)*1&gt;LEFT('General inputs'!$I$18,4)*1,"",SUMIF('Post-1996 commissioned assets'!$F$22:$F$218,$D71,'Post-1996 commissioned assets'!$P$22:$P$218))</f>
        <v/>
      </c>
      <c r="M71" s="83" t="str">
        <f>IF(L71="","",L71/(1+'General inputs'!$H$32)^C71)</f>
        <v/>
      </c>
      <c r="N71" s="83">
        <f>IF(LEFT(D71,4)*1&lt;LEFT('General inputs'!$I$18,4)*1+1,"",SUMIF('Uncommissioned assets'!$F$22:$F$495,$D71,'Uncommissioned assets'!$P$22:$P$495))</f>
        <v>75686664.600763708</v>
      </c>
      <c r="O71" s="83">
        <f>IF(N71="","",N71/(1+'General inputs'!$H$32)^C71)</f>
        <v>66898473.803966172</v>
      </c>
      <c r="P71" s="199"/>
      <c r="Q71" s="88">
        <f t="shared" si="3"/>
        <v>611307.3706344791</v>
      </c>
      <c r="R71" s="83">
        <f>IF(OR(LEFT(D71,4)*1&lt;LEFT('General inputs'!$I$16,4)*1,LEFT(D71,4)*1&gt;LEFT('General inputs'!$I$16,4)+'General inputs'!$H$38-1),"",Q71/(1+'General inputs'!$H$34)^C71)</f>
        <v>540326.75817173591</v>
      </c>
      <c r="S71" s="199"/>
      <c r="T71" s="88">
        <v>3957538.0973376315</v>
      </c>
      <c r="U71" s="83">
        <f>IF(OR(LEFT(D71,4)*1&lt;LEFT('General inputs'!$I$16,4)*1,LEFT(D71,4)*1&gt;LEFT('General inputs'!$I$16,4)+'General inputs'!$H$38-1),"",T71/(1+'General inputs'!$H$34)^C71)</f>
        <v>3498017.2548159589</v>
      </c>
      <c r="V71" s="55"/>
      <c r="W71" s="199">
        <v>611.30737063447907</v>
      </c>
    </row>
    <row r="72" spans="2:23">
      <c r="B72" s="54"/>
      <c r="C72" s="28">
        <f>IF(D72='General inputs'!$I$16,0,IF(D72&lt;'General inputs'!$I$16,C73-1,C71+1))</f>
        <v>4</v>
      </c>
      <c r="D72" s="28" t="str">
        <f t="shared" si="1"/>
        <v>2028-29</v>
      </c>
      <c r="E72" s="83">
        <f>IF(LEFT(D72,4)*1&gt;LEFT('General inputs'!$I$16,4)+'General inputs'!$H$38-1,"",'ET inputs'!D45)</f>
        <v>574.8350819239422</v>
      </c>
      <c r="F72" s="83">
        <f>IF(LEFT(D72,4)*1&gt;LEFT('General inputs'!$I$16,4)+'General inputs'!$H$38-1,"",E72/(1+'General inputs'!$H$30)^C72)</f>
        <v>574.8350819239422</v>
      </c>
      <c r="G72" s="83">
        <f>IF(LEFT(D72,4)*1&gt;LEFT('General inputs'!$I$16,4)+'General inputs'!$H$38-1,"",E72/(1+'General inputs'!$H$32)^C72)</f>
        <v>487.60975925621716</v>
      </c>
      <c r="H72" s="83">
        <f>IF(LEFT(D72,4)*1&lt;LEFT('General inputs'!$I$16,4)*1,"",IF(LEFT(D72,4)*1&gt;LEFT('General inputs'!$I$16,4)+'General inputs'!$H$38-1,"",E72/(1+'General inputs'!$H$34)^C72))</f>
        <v>487.60975925621716</v>
      </c>
      <c r="I72" s="199"/>
      <c r="J72" s="113"/>
      <c r="K72" s="113"/>
      <c r="L72" s="83" t="str">
        <f>IF(LEFT(D72,4)*1&gt;LEFT('General inputs'!$I$18,4)*1,"",SUMIF('Post-1996 commissioned assets'!$F$22:$F$218,$D72,'Post-1996 commissioned assets'!$P$22:$P$218))</f>
        <v/>
      </c>
      <c r="M72" s="83" t="str">
        <f>IF(L72="","",L72/(1+'General inputs'!$H$32)^C72)</f>
        <v/>
      </c>
      <c r="N72" s="83">
        <f>IF(LEFT(D72,4)*1&lt;LEFT('General inputs'!$I$18,4)*1+1,"",SUMIF('Uncommissioned assets'!$F$22:$F$495,$D72,'Uncommissioned assets'!$P$22:$P$495))</f>
        <v>55927390.759971678</v>
      </c>
      <c r="O72" s="83">
        <f>IF(N72="","",N72/(1+'General inputs'!$H$32)^C72)</f>
        <v>47440983.339124791</v>
      </c>
      <c r="P72" s="199"/>
      <c r="Q72" s="88">
        <f t="shared" si="3"/>
        <v>2411654.1817877898</v>
      </c>
      <c r="R72" s="83">
        <f>IF(OR(LEFT(D72,4)*1&lt;LEFT('General inputs'!$I$16,4)*1,LEFT(D72,4)*1&gt;LEFT('General inputs'!$I$16,4)+'General inputs'!$H$38-1),"",Q72/(1+'General inputs'!$H$34)^C72)</f>
        <v>2045710.4167250283</v>
      </c>
      <c r="S72" s="199"/>
      <c r="T72" s="88">
        <v>4820568.6839687508</v>
      </c>
      <c r="U72" s="83">
        <f>IF(OR(LEFT(D72,4)*1&lt;LEFT('General inputs'!$I$16,4)*1,LEFT(D72,4)*1&gt;LEFT('General inputs'!$I$16,4)+'General inputs'!$H$38-1),"",T72/(1+'General inputs'!$H$34)^C72)</f>
        <v>4089096.87209917</v>
      </c>
      <c r="V72" s="55"/>
      <c r="W72" s="199">
        <v>2411.6541817877896</v>
      </c>
    </row>
    <row r="73" spans="2:23">
      <c r="B73" s="54"/>
      <c r="C73" s="28">
        <f>IF(D73='General inputs'!$I$16,0,IF(D73&lt;'General inputs'!$I$16,C74-1,C72+1))</f>
        <v>5</v>
      </c>
      <c r="D73" s="28" t="str">
        <f t="shared" si="1"/>
        <v>2029-30</v>
      </c>
      <c r="E73" s="83">
        <f>IF(LEFT(D73,4)*1&gt;LEFT('General inputs'!$I$16,4)+'General inputs'!$H$38-1,"",'ET inputs'!D46)</f>
        <v>301.41269850608933</v>
      </c>
      <c r="F73" s="83">
        <f>IF(LEFT(D73,4)*1&gt;LEFT('General inputs'!$I$16,4)+'General inputs'!$H$38-1,"",E73/(1+'General inputs'!$H$30)^C73)</f>
        <v>301.41269850608933</v>
      </c>
      <c r="G73" s="83">
        <f>IF(LEFT(D73,4)*1&gt;LEFT('General inputs'!$I$16,4)+'General inputs'!$H$38-1,"",E73/(1+'General inputs'!$H$32)^C73)</f>
        <v>245.37084038702969</v>
      </c>
      <c r="H73" s="83">
        <f>IF(LEFT(D73,4)*1&lt;LEFT('General inputs'!$I$16,4)*1,"",IF(LEFT(D73,4)*1&gt;LEFT('General inputs'!$I$16,4)+'General inputs'!$H$38-1,"",E73/(1+'General inputs'!$H$34)^C73))</f>
        <v>245.37084038702969</v>
      </c>
      <c r="I73" s="199"/>
      <c r="J73" s="113"/>
      <c r="K73" s="113"/>
      <c r="L73" s="83" t="str">
        <f>IF(LEFT(D73,4)*1&gt;LEFT('General inputs'!$I$18,4)*1,"",SUMIF('Post-1996 commissioned assets'!$F$22:$F$218,$D73,'Post-1996 commissioned assets'!$P$22:$P$218))</f>
        <v/>
      </c>
      <c r="M73" s="83" t="str">
        <f>IF(L73="","",L73/(1+'General inputs'!$H$32)^C73)</f>
        <v/>
      </c>
      <c r="N73" s="83">
        <f>IF(LEFT(D73,4)*1&lt;LEFT('General inputs'!$I$18,4)*1+1,"",SUMIF('Uncommissioned assets'!$F$22:$F$495,$D73,'Uncommissioned assets'!$P$22:$P$495))</f>
        <v>24564921.477797013</v>
      </c>
      <c r="O73" s="83">
        <f>IF(N73="","",N73/(1+'General inputs'!$H$32)^C73)</f>
        <v>19997549.728073835</v>
      </c>
      <c r="P73" s="199"/>
      <c r="Q73" s="88">
        <f t="shared" si="3"/>
        <v>2942740.1383122611</v>
      </c>
      <c r="R73" s="83">
        <f>IF(OR(LEFT(D73,4)*1&lt;LEFT('General inputs'!$I$16,4)*1,LEFT(D73,4)*1&gt;LEFT('General inputs'!$I$16,4)+'General inputs'!$H$38-1),"",Q73/(1+'General inputs'!$H$34)^C73)</f>
        <v>2395594.5597419343</v>
      </c>
      <c r="S73" s="199"/>
      <c r="T73" s="88">
        <v>5246495.2529142061</v>
      </c>
      <c r="U73" s="83">
        <f>IF(OR(LEFT(D73,4)*1&lt;LEFT('General inputs'!$I$16,4)*1,LEFT(D73,4)*1&gt;LEFT('General inputs'!$I$16,4)+'General inputs'!$H$38-1),"",T73/(1+'General inputs'!$H$34)^C73)</f>
        <v>4271010.9948075498</v>
      </c>
      <c r="V73" s="55"/>
      <c r="W73" s="199">
        <v>2942.740138312261</v>
      </c>
    </row>
    <row r="74" spans="2:23">
      <c r="B74" s="54"/>
      <c r="C74" s="28">
        <f>IF(D74='General inputs'!$I$16,0,IF(D74&lt;'General inputs'!$I$16,C75-1,C73+1))</f>
        <v>6</v>
      </c>
      <c r="D74" s="28" t="str">
        <f t="shared" si="1"/>
        <v>2030-31</v>
      </c>
      <c r="E74" s="83">
        <f>IF(LEFT(D74,4)*1&gt;LEFT('General inputs'!$I$16,4)+'General inputs'!$H$38-1,"",'ET inputs'!D47)</f>
        <v>54.360438310343852</v>
      </c>
      <c r="F74" s="83">
        <f>IF(LEFT(D74,4)*1&gt;LEFT('General inputs'!$I$16,4)+'General inputs'!$H$38-1,"",E74/(1+'General inputs'!$H$30)^C74)</f>
        <v>54.360438310343852</v>
      </c>
      <c r="G74" s="83">
        <f>IF(LEFT(D74,4)*1&gt;LEFT('General inputs'!$I$16,4)+'General inputs'!$H$38-1,"",E74/(1+'General inputs'!$H$32)^C74)</f>
        <v>42.469449933922803</v>
      </c>
      <c r="H74" s="83">
        <f>IF(LEFT(D74,4)*1&lt;LEFT('General inputs'!$I$16,4)*1,"",IF(LEFT(D74,4)*1&gt;LEFT('General inputs'!$I$16,4)+'General inputs'!$H$38-1,"",E74/(1+'General inputs'!$H$34)^C74))</f>
        <v>42.469449933922803</v>
      </c>
      <c r="I74" s="199"/>
      <c r="J74" s="113"/>
      <c r="K74" s="113"/>
      <c r="L74" s="83" t="str">
        <f>IF(LEFT(D74,4)*1&gt;LEFT('General inputs'!$I$18,4)*1,"",SUMIF('Post-1996 commissioned assets'!$F$22:$F$218,$D74,'Post-1996 commissioned assets'!$P$22:$P$218))</f>
        <v/>
      </c>
      <c r="M74" s="83" t="str">
        <f>IF(L74="","",L74/(1+'General inputs'!$H$32)^C74)</f>
        <v/>
      </c>
      <c r="N74" s="83">
        <f>IF(LEFT(D74,4)*1&lt;LEFT('General inputs'!$I$18,4)*1+1,"",SUMIF('Uncommissioned assets'!$F$22:$F$495,$D74,'Uncommissioned assets'!$P$22:$P$495))</f>
        <v>5119612.56868775</v>
      </c>
      <c r="O74" s="83">
        <f>IF(N74="","",N74/(1+'General inputs'!$H$32)^C74)</f>
        <v>3999730.9886589656</v>
      </c>
      <c r="P74" s="199"/>
      <c r="Q74" s="88">
        <f t="shared" si="3"/>
        <v>3228814.0250382922</v>
      </c>
      <c r="R74" s="83">
        <f>IF(OR(LEFT(D74,4)*1&lt;LEFT('General inputs'!$I$16,4)*1,LEFT(D74,4)*1&gt;LEFT('General inputs'!$I$16,4)+'General inputs'!$H$38-1),"",Q74/(1+'General inputs'!$H$34)^C74)</f>
        <v>2522532.1915077129</v>
      </c>
      <c r="S74" s="199"/>
      <c r="T74" s="88">
        <v>6199742.5258343937</v>
      </c>
      <c r="U74" s="83">
        <f>IF(OR(LEFT(D74,4)*1&lt;LEFT('General inputs'!$I$16,4)*1,LEFT(D74,4)*1&gt;LEFT('General inputs'!$I$16,4)+'General inputs'!$H$38-1),"",T74/(1+'General inputs'!$H$34)^C74)</f>
        <v>4843589.6212049946</v>
      </c>
      <c r="V74" s="55"/>
      <c r="W74" s="199">
        <v>3228.8140250382921</v>
      </c>
    </row>
    <row r="75" spans="2:23">
      <c r="B75" s="54"/>
      <c r="C75" s="28">
        <f>IF(D75='General inputs'!$I$16,0,IF(D75&lt;'General inputs'!$I$16,C76-1,C74+1))</f>
        <v>7</v>
      </c>
      <c r="D75" s="28" t="str">
        <f t="shared" si="1"/>
        <v>2031-32</v>
      </c>
      <c r="E75" s="83">
        <f>IF(LEFT(D75,4)*1&gt;LEFT('General inputs'!$I$16,4)+'General inputs'!$H$38-1,"",'ET inputs'!D48)</f>
        <v>54.360438310343852</v>
      </c>
      <c r="F75" s="83">
        <f>IF(LEFT(D75,4)*1&gt;LEFT('General inputs'!$I$16,4)+'General inputs'!$H$38-1,"",E75/(1+'General inputs'!$H$30)^C75)</f>
        <v>54.360438310343852</v>
      </c>
      <c r="G75" s="83">
        <f>IF(LEFT(D75,4)*1&gt;LEFT('General inputs'!$I$16,4)+'General inputs'!$H$38-1,"",E75/(1+'General inputs'!$H$32)^C75)</f>
        <v>40.757629495127453</v>
      </c>
      <c r="H75" s="83">
        <f>IF(LEFT(D75,4)*1&lt;LEFT('General inputs'!$I$16,4)*1,"",IF(LEFT(D75,4)*1&gt;LEFT('General inputs'!$I$16,4)+'General inputs'!$H$38-1,"",E75/(1+'General inputs'!$H$34)^C75))</f>
        <v>40.757629495127453</v>
      </c>
      <c r="I75" s="199"/>
      <c r="J75" s="113"/>
      <c r="K75" s="113"/>
      <c r="L75" s="83" t="str">
        <f>IF(LEFT(D75,4)*1&gt;LEFT('General inputs'!$I$18,4)*1,"",SUMIF('Post-1996 commissioned assets'!$F$22:$F$218,$D75,'Post-1996 commissioned assets'!$P$22:$P$218))</f>
        <v/>
      </c>
      <c r="M75" s="83" t="str">
        <f>IF(L75="","",L75/(1+'General inputs'!$H$32)^C75)</f>
        <v/>
      </c>
      <c r="N75" s="83">
        <f>IF(LEFT(D75,4)*1&lt;LEFT('General inputs'!$I$18,4)*1+1,"",SUMIF('Uncommissioned assets'!$F$22:$F$495,$D75,'Uncommissioned assets'!$P$22:$P$495))</f>
        <v>5254326.9306681622</v>
      </c>
      <c r="O75" s="83">
        <f>IF(N75="","",N75/(1+'General inputs'!$H$32)^C75)</f>
        <v>3939517.7254428682</v>
      </c>
      <c r="P75" s="199"/>
      <c r="Q75" s="88">
        <f t="shared" si="3"/>
        <v>3467126.7214255678</v>
      </c>
      <c r="R75" s="83">
        <f>IF(OR(LEFT(D75,4)*1&lt;LEFT('General inputs'!$I$16,4)*1,LEFT(D75,4)*1&gt;LEFT('General inputs'!$I$16,4)+'General inputs'!$H$38-1),"",Q75/(1+'General inputs'!$H$34)^C75)</f>
        <v>2599535.0794960395</v>
      </c>
      <c r="S75" s="199"/>
      <c r="T75" s="88">
        <v>7407650.0926182633</v>
      </c>
      <c r="U75" s="83">
        <f>IF(OR(LEFT(D75,4)*1&lt;LEFT('General inputs'!$I$16,4)*1,LEFT(D75,4)*1&gt;LEFT('General inputs'!$I$16,4)+'General inputs'!$H$38-1),"",T75/(1+'General inputs'!$H$34)^C75)</f>
        <v>5554007.055293222</v>
      </c>
      <c r="V75" s="55"/>
      <c r="W75" s="199">
        <v>3467.1267214255677</v>
      </c>
    </row>
    <row r="76" spans="2:23">
      <c r="B76" s="54"/>
      <c r="C76" s="28">
        <f>IF(D76='General inputs'!$I$16,0,IF(D76&lt;'General inputs'!$I$16,C77-1,C75+1))</f>
        <v>8</v>
      </c>
      <c r="D76" s="28" t="str">
        <f t="shared" si="1"/>
        <v>2032-33</v>
      </c>
      <c r="E76" s="83">
        <f>IF(LEFT(D76,4)*1&gt;LEFT('General inputs'!$I$16,4)+'General inputs'!$H$38-1,"",'ET inputs'!D49)</f>
        <v>54.360438310343852</v>
      </c>
      <c r="F76" s="83">
        <f>IF(LEFT(D76,4)*1&gt;LEFT('General inputs'!$I$16,4)+'General inputs'!$H$38-1,"",E76/(1+'General inputs'!$H$30)^C76)</f>
        <v>54.360438310343852</v>
      </c>
      <c r="G76" s="83">
        <f>IF(LEFT(D76,4)*1&gt;LEFT('General inputs'!$I$16,4)+'General inputs'!$H$38-1,"",E76/(1+'General inputs'!$H$32)^C76)</f>
        <v>39.114807576897739</v>
      </c>
      <c r="H76" s="83">
        <f>IF(LEFT(D76,4)*1&lt;LEFT('General inputs'!$I$16,4)*1,"",IF(LEFT(D76,4)*1&gt;LEFT('General inputs'!$I$16,4)+'General inputs'!$H$38-1,"",E76/(1+'General inputs'!$H$34)^C76))</f>
        <v>39.114807576897739</v>
      </c>
      <c r="I76" s="199"/>
      <c r="J76" s="113"/>
      <c r="K76" s="113"/>
      <c r="L76" s="83" t="str">
        <f>IF(LEFT(D76,4)*1&gt;LEFT('General inputs'!$I$18,4)*1,"",SUMIF('Post-1996 commissioned assets'!$F$22:$F$218,$D76,'Post-1996 commissioned assets'!$P$22:$P$218))</f>
        <v/>
      </c>
      <c r="M76" s="83" t="str">
        <f>IF(L76="","",L76/(1+'General inputs'!$H$32)^C76)</f>
        <v/>
      </c>
      <c r="N76" s="83">
        <f>IF(LEFT(D76,4)*1&lt;LEFT('General inputs'!$I$18,4)*1+1,"",SUMIF('Uncommissioned assets'!$F$22:$F$495,$D76,'Uncommissioned assets'!$P$22:$P$495))</f>
        <v>5392429.261917511</v>
      </c>
      <c r="O76" s="83">
        <f>IF(N76="","",N76/(1+'General inputs'!$H$32)^C76)</f>
        <v>3880098.0916999155</v>
      </c>
      <c r="P76" s="199"/>
      <c r="Q76" s="88">
        <f t="shared" si="3"/>
        <v>3706301.2997627077</v>
      </c>
      <c r="R76" s="83">
        <f>IF(OR(LEFT(D76,4)*1&lt;LEFT('General inputs'!$I$16,4)*1,LEFT(D76,4)*1&gt;LEFT('General inputs'!$I$16,4)+'General inputs'!$H$38-1),"",Q76/(1+'General inputs'!$H$34)^C76)</f>
        <v>2666852.340935573</v>
      </c>
      <c r="S76" s="199"/>
      <c r="T76" s="88">
        <v>7677741.6097292313</v>
      </c>
      <c r="U76" s="83">
        <f>IF(OR(LEFT(D76,4)*1&lt;LEFT('General inputs'!$I$16,4)*1,LEFT(D76,4)*1&gt;LEFT('General inputs'!$I$16,4)+'General inputs'!$H$38-1),"",T76/(1+'General inputs'!$H$34)^C76)</f>
        <v>5524484.2577466033</v>
      </c>
      <c r="V76" s="55"/>
      <c r="W76" s="199">
        <v>3706.3012997627075</v>
      </c>
    </row>
    <row r="77" spans="2:23">
      <c r="B77" s="54"/>
      <c r="C77" s="28">
        <f>IF(D77='General inputs'!$I$16,0,IF(D77&lt;'General inputs'!$I$16,C78-1,C76+1))</f>
        <v>9</v>
      </c>
      <c r="D77" s="28" t="str">
        <f t="shared" si="1"/>
        <v>2033-34</v>
      </c>
      <c r="E77" s="83">
        <f>IF(LEFT(D77,4)*1&gt;LEFT('General inputs'!$I$16,4)+'General inputs'!$H$38-1,"",'ET inputs'!D50)</f>
        <v>326.16262986206493</v>
      </c>
      <c r="F77" s="83">
        <f>IF(LEFT(D77,4)*1&gt;LEFT('General inputs'!$I$16,4)+'General inputs'!$H$38-1,"",E77/(1+'General inputs'!$H$30)^C77)</f>
        <v>326.16262986206493</v>
      </c>
      <c r="G77" s="83">
        <f>IF(LEFT(D77,4)*1&gt;LEFT('General inputs'!$I$16,4)+'General inputs'!$H$38-1,"",E77/(1+'General inputs'!$H$32)^C77)</f>
        <v>225.22921829307847</v>
      </c>
      <c r="H77" s="83">
        <f>IF(LEFT(D77,4)*1&lt;LEFT('General inputs'!$I$16,4)*1,"",IF(LEFT(D77,4)*1&gt;LEFT('General inputs'!$I$16,4)+'General inputs'!$H$38-1,"",E77/(1+'General inputs'!$H$34)^C77))</f>
        <v>225.22921829307847</v>
      </c>
      <c r="I77" s="199"/>
      <c r="J77" s="113"/>
      <c r="K77" s="113"/>
      <c r="L77" s="83" t="str">
        <f>IF(LEFT(D77,4)*1&gt;LEFT('General inputs'!$I$18,4)*1,"",SUMIF('Post-1996 commissioned assets'!$F$22:$F$218,$D77,'Post-1996 commissioned assets'!$P$22:$P$218))</f>
        <v/>
      </c>
      <c r="M77" s="83" t="str">
        <f>IF(L77="","",L77/(1+'General inputs'!$H$32)^C77)</f>
        <v/>
      </c>
      <c r="N77" s="83">
        <f>IF(LEFT(D77,4)*1&lt;LEFT('General inputs'!$I$18,4)*1+1,"",SUMIF('Uncommissioned assets'!$F$22:$F$495,$D77,'Uncommissioned assets'!$P$22:$P$495))</f>
        <v>31805504.481221315</v>
      </c>
      <c r="O77" s="83">
        <f>IF(N77="","",N77/(1+'General inputs'!$H$32)^C77)</f>
        <v>21963058.474086858</v>
      </c>
      <c r="P77" s="199"/>
      <c r="Q77" s="88">
        <f t="shared" si="3"/>
        <v>3937013.3089425261</v>
      </c>
      <c r="R77" s="83">
        <f>IF(OR(LEFT(D77,4)*1&lt;LEFT('General inputs'!$I$16,4)*1,LEFT(D77,4)*1&gt;LEFT('General inputs'!$I$16,4)+'General inputs'!$H$38-1),"",Q77/(1+'General inputs'!$H$34)^C77)</f>
        <v>2718675.7427040986</v>
      </c>
      <c r="S77" s="199"/>
      <c r="T77" s="88">
        <v>8092445.4803015226</v>
      </c>
      <c r="U77" s="83">
        <f>IF(OR(LEFT(D77,4)*1&lt;LEFT('General inputs'!$I$16,4)*1,LEFT(D77,4)*1&gt;LEFT('General inputs'!$I$16,4)+'General inputs'!$H$38-1),"",T77/(1+'General inputs'!$H$34)^C77)</f>
        <v>5588179.0331972539</v>
      </c>
      <c r="V77" s="55"/>
      <c r="W77" s="199">
        <v>3937.0133089425262</v>
      </c>
    </row>
    <row r="78" spans="2:23">
      <c r="B78" s="54"/>
      <c r="C78" s="28">
        <f>IF(D78='General inputs'!$I$16,0,IF(D78&lt;'General inputs'!$I$16,C79-1,C77+1))</f>
        <v>10</v>
      </c>
      <c r="D78" s="28" t="str">
        <f t="shared" si="1"/>
        <v>2034-35</v>
      </c>
      <c r="E78" s="83">
        <f>IF(LEFT(D78,4)*1&gt;LEFT('General inputs'!$I$16,4)+'General inputs'!$H$38-1,"",'ET inputs'!D51)</f>
        <v>761.04613634481939</v>
      </c>
      <c r="F78" s="83">
        <f>IF(LEFT(D78,4)*1&gt;LEFT('General inputs'!$I$16,4)+'General inputs'!$H$38-1,"",E78/(1+'General inputs'!$H$30)^C78)</f>
        <v>761.04613634481939</v>
      </c>
      <c r="G78" s="83">
        <f>IF(LEFT(D78,4)*1&gt;LEFT('General inputs'!$I$16,4)+'General inputs'!$H$38-1,"",E78/(1+'General inputs'!$H$32)^C78)</f>
        <v>504.35205631847458</v>
      </c>
      <c r="H78" s="83">
        <f>IF(LEFT(D78,4)*1&lt;LEFT('General inputs'!$I$16,4)*1,"",IF(LEFT(D78,4)*1&gt;LEFT('General inputs'!$I$16,4)+'General inputs'!$H$38-1,"",E78/(1+'General inputs'!$H$34)^C78))</f>
        <v>504.35205631847458</v>
      </c>
      <c r="I78" s="199"/>
      <c r="J78" s="113"/>
      <c r="K78" s="113"/>
      <c r="L78" s="83" t="str">
        <f>IF(LEFT(D78,4)*1&gt;LEFT('General inputs'!$I$18,4)*1,"",SUMIF('Post-1996 commissioned assets'!$F$22:$F$218,$D78,'Post-1996 commissioned assets'!$P$22:$P$218))</f>
        <v/>
      </c>
      <c r="M78" s="83" t="str">
        <f>IF(L78="","",L78/(1+'General inputs'!$H$32)^C78)</f>
        <v/>
      </c>
      <c r="N78" s="83">
        <f>IF(LEFT(D78,4)*1&lt;LEFT('General inputs'!$I$18,4)*1+1,"",SUMIF('Uncommissioned assets'!$F$22:$F$495,$D78,'Uncommissioned assets'!$P$22:$P$495))</f>
        <v>74633450.474639267</v>
      </c>
      <c r="O78" s="83">
        <f>IF(N78="","",N78/(1+'General inputs'!$H$32)^C78)</f>
        <v>49460252.696128912</v>
      </c>
      <c r="P78" s="199"/>
      <c r="Q78" s="88">
        <f t="shared" si="3"/>
        <v>4212675.6365896892</v>
      </c>
      <c r="R78" s="83">
        <f>IF(OR(LEFT(D78,4)*1&lt;LEFT('General inputs'!$I$16,4)*1,LEFT(D78,4)*1&gt;LEFT('General inputs'!$I$16,4)+'General inputs'!$H$38-1),"",Q78/(1+'General inputs'!$H$34)^C78)</f>
        <v>2791777.6839669673</v>
      </c>
      <c r="S78" s="199"/>
      <c r="T78" s="88">
        <v>8850135.9291657023</v>
      </c>
      <c r="U78" s="83">
        <f>IF(OR(LEFT(D78,4)*1&lt;LEFT('General inputs'!$I$16,4)*1,LEFT(D78,4)*1&gt;LEFT('General inputs'!$I$16,4)+'General inputs'!$H$38-1),"",T78/(1+'General inputs'!$H$34)^C78)</f>
        <v>5865063.9447571523</v>
      </c>
      <c r="V78" s="55"/>
      <c r="W78" s="199">
        <v>4212.675636589689</v>
      </c>
    </row>
    <row r="79" spans="2:23">
      <c r="B79" s="54"/>
      <c r="C79" s="28">
        <f>IF(D79='General inputs'!$I$16,0,IF(D79&lt;'General inputs'!$I$16,C80-1,C78+1))</f>
        <v>11</v>
      </c>
      <c r="D79" s="28" t="str">
        <f t="shared" si="1"/>
        <v>2035-36</v>
      </c>
      <c r="E79" s="83">
        <f>IF(LEFT(D79,4)*1&gt;LEFT('General inputs'!$I$16,4)+'General inputs'!$H$38-1,"",'ET inputs'!D52)</f>
        <v>0</v>
      </c>
      <c r="F79" s="83">
        <f>IF(LEFT(D79,4)*1&gt;LEFT('General inputs'!$I$16,4)+'General inputs'!$H$38-1,"",E79/(1+'General inputs'!$H$30)^C79)</f>
        <v>0</v>
      </c>
      <c r="G79" s="83">
        <f>IF(LEFT(D79,4)*1&gt;LEFT('General inputs'!$I$16,4)+'General inputs'!$H$38-1,"",E79/(1+'General inputs'!$H$32)^C79)</f>
        <v>0</v>
      </c>
      <c r="H79" s="83">
        <f>IF(LEFT(D79,4)*1&lt;LEFT('General inputs'!$I$16,4)*1,"",IF(LEFT(D79,4)*1&gt;LEFT('General inputs'!$I$16,4)+'General inputs'!$H$38-1,"",E79/(1+'General inputs'!$H$34)^C79))</f>
        <v>0</v>
      </c>
      <c r="I79" s="199"/>
      <c r="J79" s="113"/>
      <c r="K79" s="113"/>
      <c r="L79" s="83" t="str">
        <f>IF(LEFT(D79,4)*1&gt;LEFT('General inputs'!$I$18,4)*1,"",SUMIF('Post-1996 commissioned assets'!$F$22:$F$218,$D79,'Post-1996 commissioned assets'!$P$22:$P$218))</f>
        <v/>
      </c>
      <c r="M79" s="83" t="str">
        <f>IF(L79="","",L79/(1+'General inputs'!$H$32)^C79)</f>
        <v/>
      </c>
      <c r="N79" s="83">
        <f>IF(LEFT(D79,4)*1&lt;LEFT('General inputs'!$I$18,4)*1+1,"",SUMIF('Uncommissioned assets'!$F$22:$F$495,$D79,'Uncommissioned assets'!$P$22:$P$495))</f>
        <v>728779.35850825615</v>
      </c>
      <c r="O79" s="83">
        <f>IF(N79="","",N79/(1+'General inputs'!$H$32)^C79)</f>
        <v>463501.51162524737</v>
      </c>
      <c r="P79" s="199"/>
      <c r="Q79" s="88">
        <f t="shared" si="3"/>
        <v>4597911.6356712785</v>
      </c>
      <c r="R79" s="83">
        <f>IF(OR(LEFT(D79,4)*1&lt;LEFT('General inputs'!$I$16,4)*1,LEFT(D79,4)*1&gt;LEFT('General inputs'!$I$16,4)+'General inputs'!$H$38-1),"",Q79/(1+'General inputs'!$H$34)^C79)</f>
        <v>2924258.1702851672</v>
      </c>
      <c r="S79" s="199"/>
      <c r="T79" s="88">
        <v>9196565.3590083811</v>
      </c>
      <c r="U79" s="83">
        <f>IF(OR(LEFT(D79,4)*1&lt;LEFT('General inputs'!$I$16,4)*1,LEFT(D79,4)*1&gt;LEFT('General inputs'!$I$16,4)+'General inputs'!$H$38-1),"",T79/(1+'General inputs'!$H$34)^C79)</f>
        <v>5848988.3061259622</v>
      </c>
      <c r="V79" s="55"/>
      <c r="W79" s="199">
        <v>4597.9116356712784</v>
      </c>
    </row>
    <row r="80" spans="2:23">
      <c r="B80" s="54"/>
      <c r="C80" s="28">
        <f>IF(D80='General inputs'!$I$16,0,IF(D80&lt;'General inputs'!$I$16,C81-1,C79+1))</f>
        <v>12</v>
      </c>
      <c r="D80" s="28" t="str">
        <f t="shared" si="1"/>
        <v>2036-37</v>
      </c>
      <c r="E80" s="83">
        <f>IF(LEFT(D80,4)*1&gt;LEFT('General inputs'!$I$16,4)+'General inputs'!$H$38-1,"",'ET inputs'!D53)</f>
        <v>0</v>
      </c>
      <c r="F80" s="83">
        <f>IF(LEFT(D80,4)*1&gt;LEFT('General inputs'!$I$16,4)+'General inputs'!$H$38-1,"",E80/(1+'General inputs'!$H$30)^C80)</f>
        <v>0</v>
      </c>
      <c r="G80" s="83">
        <f>IF(LEFT(D80,4)*1&gt;LEFT('General inputs'!$I$16,4)+'General inputs'!$H$38-1,"",E80/(1+'General inputs'!$H$32)^C80)</f>
        <v>0</v>
      </c>
      <c r="H80" s="83">
        <f>IF(LEFT(D80,4)*1&lt;LEFT('General inputs'!$I$16,4)*1,"",IF(LEFT(D80,4)*1&gt;LEFT('General inputs'!$I$16,4)+'General inputs'!$H$38-1,"",E80/(1+'General inputs'!$H$34)^C80))</f>
        <v>0</v>
      </c>
      <c r="I80" s="199"/>
      <c r="J80" s="113"/>
      <c r="K80" s="113"/>
      <c r="L80" s="83" t="str">
        <f>IF(LEFT(D80,4)*1&gt;LEFT('General inputs'!$I$18,4)*1,"",SUMIF('Post-1996 commissioned assets'!$F$22:$F$218,$D80,'Post-1996 commissioned assets'!$P$22:$P$218))</f>
        <v/>
      </c>
      <c r="M80" s="83" t="str">
        <f>IF(L80="","",L80/(1+'General inputs'!$H$32)^C80)</f>
        <v/>
      </c>
      <c r="N80" s="83">
        <f>IF(LEFT(D80,4)*1&lt;LEFT('General inputs'!$I$18,4)*1+1,"",SUMIF('Uncommissioned assets'!$F$22:$F$495,$D80,'Uncommissioned assets'!$P$22:$P$495))</f>
        <v>1243046.7357757105</v>
      </c>
      <c r="O80" s="83">
        <f>IF(N80="","",N80/(1+'General inputs'!$H$32)^C80)</f>
        <v>758708.29086223268</v>
      </c>
      <c r="P80" s="199"/>
      <c r="Q80" s="88">
        <f t="shared" si="3"/>
        <v>4859597.2656705901</v>
      </c>
      <c r="R80" s="83">
        <f>IF(OR(LEFT(D80,4)*1&lt;LEFT('General inputs'!$I$16,4)*1,LEFT(D80,4)*1&gt;LEFT('General inputs'!$I$16,4)+'General inputs'!$H$38-1),"",Q80/(1+'General inputs'!$H$34)^C80)</f>
        <v>2966112.7209467855</v>
      </c>
      <c r="S80" s="199"/>
      <c r="T80" s="88">
        <v>9571124.8906256668</v>
      </c>
      <c r="U80" s="83">
        <f>IF(OR(LEFT(D80,4)*1&lt;LEFT('General inputs'!$I$16,4)*1,LEFT(D80,4)*1&gt;LEFT('General inputs'!$I$16,4)+'General inputs'!$H$38-1),"",T80/(1+'General inputs'!$H$34)^C80)</f>
        <v>5841849.3837755742</v>
      </c>
      <c r="V80" s="55"/>
      <c r="W80" s="199">
        <v>4859.5972656705899</v>
      </c>
    </row>
    <row r="81" spans="2:23">
      <c r="B81" s="54"/>
      <c r="C81" s="28">
        <f>IF(D81='General inputs'!$I$16,0,IF(D81&lt;'General inputs'!$I$16,C82-1,C80+1))</f>
        <v>13</v>
      </c>
      <c r="D81" s="28" t="str">
        <f t="shared" si="1"/>
        <v>2037-38</v>
      </c>
      <c r="E81" s="83">
        <f>IF(LEFT(D81,4)*1&gt;LEFT('General inputs'!$I$16,4)+'General inputs'!$H$38-1,"",'ET inputs'!D54)</f>
        <v>0</v>
      </c>
      <c r="F81" s="83">
        <f>IF(LEFT(D81,4)*1&gt;LEFT('General inputs'!$I$16,4)+'General inputs'!$H$38-1,"",E81/(1+'General inputs'!$H$30)^C81)</f>
        <v>0</v>
      </c>
      <c r="G81" s="83">
        <f>IF(LEFT(D81,4)*1&gt;LEFT('General inputs'!$I$16,4)+'General inputs'!$H$38-1,"",E81/(1+'General inputs'!$H$32)^C81)</f>
        <v>0</v>
      </c>
      <c r="H81" s="83">
        <f>IF(LEFT(D81,4)*1&lt;LEFT('General inputs'!$I$16,4)*1,"",IF(LEFT(D81,4)*1&gt;LEFT('General inputs'!$I$16,4)+'General inputs'!$H$38-1,"",E81/(1+'General inputs'!$H$34)^C81))</f>
        <v>0</v>
      </c>
      <c r="I81" s="199"/>
      <c r="J81" s="113"/>
      <c r="K81" s="113"/>
      <c r="L81" s="83" t="str">
        <f>IF(LEFT(D81,4)*1&gt;LEFT('General inputs'!$I$18,4)*1,"",SUMIF('Post-1996 commissioned assets'!$F$22:$F$218,$D81,'Post-1996 commissioned assets'!$P$22:$P$218))</f>
        <v/>
      </c>
      <c r="M81" s="83" t="str">
        <f>IF(L81="","",L81/(1+'General inputs'!$H$32)^C81)</f>
        <v/>
      </c>
      <c r="N81" s="83">
        <f>IF(LEFT(D81,4)*1&lt;LEFT('General inputs'!$I$18,4)*1+1,"",SUMIF('Uncommissioned assets'!$F$22:$F$495,$D81,'Uncommissioned assets'!$P$22:$P$495))</f>
        <v>1259919.1772111256</v>
      </c>
      <c r="O81" s="83">
        <f>IF(N81="","",N81/(1+'General inputs'!$H$32)^C81)</f>
        <v>738010.1585748645</v>
      </c>
      <c r="P81" s="199"/>
      <c r="Q81" s="88">
        <f t="shared" si="3"/>
        <v>5121282.8956699008</v>
      </c>
      <c r="R81" s="83">
        <f>IF(OR(LEFT(D81,4)*1&lt;LEFT('General inputs'!$I$16,4)*1,LEFT(D81,4)*1&gt;LEFT('General inputs'!$I$16,4)+'General inputs'!$H$38-1),"",Q81/(1+'General inputs'!$H$34)^C81)</f>
        <v>2999842.2679034607</v>
      </c>
      <c r="S81" s="199"/>
      <c r="T81" s="88">
        <v>9811107.3518049158</v>
      </c>
      <c r="U81" s="83">
        <f>IF(OR(LEFT(D81,4)*1&lt;LEFT('General inputs'!$I$16,4)*1,LEFT(D81,4)*1&gt;LEFT('General inputs'!$I$16,4)+'General inputs'!$H$38-1),"",T81/(1+'General inputs'!$H$34)^C81)</f>
        <v>5746953.4740538644</v>
      </c>
      <c r="V81" s="55"/>
      <c r="W81" s="199">
        <v>5121.2828956699004</v>
      </c>
    </row>
    <row r="82" spans="2:23">
      <c r="B82" s="54"/>
      <c r="C82" s="28">
        <f>IF(D82='General inputs'!$I$16,0,IF(D82&lt;'General inputs'!$I$16,C83-1,C81+1))</f>
        <v>14</v>
      </c>
      <c r="D82" s="28" t="str">
        <f t="shared" si="1"/>
        <v>2038-39</v>
      </c>
      <c r="E82" s="83">
        <f>IF(LEFT(D82,4)*1&gt;LEFT('General inputs'!$I$16,4)+'General inputs'!$H$38-1,"",'ET inputs'!D55)</f>
        <v>0</v>
      </c>
      <c r="F82" s="83">
        <f>IF(LEFT(D82,4)*1&gt;LEFT('General inputs'!$I$16,4)+'General inputs'!$H$38-1,"",E82/(1+'General inputs'!$H$30)^C82)</f>
        <v>0</v>
      </c>
      <c r="G82" s="83">
        <f>IF(LEFT(D82,4)*1&gt;LEFT('General inputs'!$I$16,4)+'General inputs'!$H$38-1,"",E82/(1+'General inputs'!$H$32)^C82)</f>
        <v>0</v>
      </c>
      <c r="H82" s="83">
        <f>IF(LEFT(D82,4)*1&lt;LEFT('General inputs'!$I$16,4)*1,"",IF(LEFT(D82,4)*1&gt;LEFT('General inputs'!$I$16,4)+'General inputs'!$H$38-1,"",E82/(1+'General inputs'!$H$34)^C82))</f>
        <v>0</v>
      </c>
      <c r="I82" s="199"/>
      <c r="J82" s="113"/>
      <c r="K82" s="113"/>
      <c r="L82" s="83" t="str">
        <f>IF(LEFT(D82,4)*1&gt;LEFT('General inputs'!$I$18,4)*1,"",SUMIF('Post-1996 commissioned assets'!$F$22:$F$218,$D82,'Post-1996 commissioned assets'!$P$22:$P$218))</f>
        <v/>
      </c>
      <c r="M82" s="83" t="str">
        <f>IF(L82="","",L82/(1+'General inputs'!$H$32)^C82)</f>
        <v/>
      </c>
      <c r="N82" s="83">
        <f>IF(LEFT(D82,4)*1&lt;LEFT('General inputs'!$I$18,4)*1+1,"",SUMIF('Uncommissioned assets'!$F$22:$F$495,$D82,'Uncommissioned assets'!$P$22:$P$495))</f>
        <v>1306430.7668461858</v>
      </c>
      <c r="O82" s="83">
        <f>IF(N82="","",N82/(1+'General inputs'!$H$32)^C82)</f>
        <v>734409.58126393962</v>
      </c>
      <c r="P82" s="199"/>
      <c r="Q82" s="88">
        <f t="shared" si="3"/>
        <v>5170394.5539482748</v>
      </c>
      <c r="R82" s="83">
        <f>IF(OR(LEFT(D82,4)*1&lt;LEFT('General inputs'!$I$16,4)*1,LEFT(D82,4)*1&gt;LEFT('General inputs'!$I$16,4)+'General inputs'!$H$38-1),"",Q82/(1+'General inputs'!$H$34)^C82)</f>
        <v>2906535.4213152672</v>
      </c>
      <c r="S82" s="199"/>
      <c r="T82" s="88">
        <v>9994055.0763287712</v>
      </c>
      <c r="U82" s="83">
        <f>IF(OR(LEFT(D82,4)*1&lt;LEFT('General inputs'!$I$16,4)*1,LEFT(D82,4)*1&gt;LEFT('General inputs'!$I$16,4)+'General inputs'!$H$38-1),"",T82/(1+'General inputs'!$H$34)^C82)</f>
        <v>5618154.4326715283</v>
      </c>
      <c r="V82" s="55"/>
      <c r="W82" s="199">
        <v>5170.3945539482747</v>
      </c>
    </row>
    <row r="83" spans="2:23">
      <c r="B83" s="54"/>
      <c r="C83" s="28">
        <f>IF(D83='General inputs'!$I$16,0,IF(D83&lt;'General inputs'!$I$16,C84-1,C82+1))</f>
        <v>15</v>
      </c>
      <c r="D83" s="28" t="str">
        <f t="shared" si="1"/>
        <v>2039-40</v>
      </c>
      <c r="E83" s="83">
        <f>IF(LEFT(D83,4)*1&gt;LEFT('General inputs'!$I$16,4)+'General inputs'!$H$38-1,"",'ET inputs'!D56)</f>
        <v>0</v>
      </c>
      <c r="F83" s="83">
        <f>IF(LEFT(D83,4)*1&gt;LEFT('General inputs'!$I$16,4)+'General inputs'!$H$38-1,"",E83/(1+'General inputs'!$H$30)^C83)</f>
        <v>0</v>
      </c>
      <c r="G83" s="83">
        <f>IF(LEFT(D83,4)*1&gt;LEFT('General inputs'!$I$16,4)+'General inputs'!$H$38-1,"",E83/(1+'General inputs'!$H$32)^C83)</f>
        <v>0</v>
      </c>
      <c r="H83" s="83">
        <f>IF(LEFT(D83,4)*1&lt;LEFT('General inputs'!$I$16,4)*1,"",IF(LEFT(D83,4)*1&gt;LEFT('General inputs'!$I$16,4)+'General inputs'!$H$38-1,"",E83/(1+'General inputs'!$H$34)^C83))</f>
        <v>0</v>
      </c>
      <c r="I83" s="199"/>
      <c r="J83" s="113"/>
      <c r="K83" s="113"/>
      <c r="L83" s="83" t="str">
        <f>IF(LEFT(D83,4)*1&gt;LEFT('General inputs'!$I$18,4)*1,"",SUMIF('Post-1996 commissioned assets'!$F$22:$F$218,$D83,'Post-1996 commissioned assets'!$P$22:$P$218))</f>
        <v/>
      </c>
      <c r="M83" s="83" t="str">
        <f>IF(L83="","",L83/(1+'General inputs'!$H$32)^C83)</f>
        <v/>
      </c>
      <c r="N83" s="83">
        <f>IF(LEFT(D83,4)*1&lt;LEFT('General inputs'!$I$18,4)*1+1,"",SUMIF('Uncommissioned assets'!$F$22:$F$495,$D83,'Uncommissioned assets'!$P$22:$P$495))</f>
        <v>1039350.3716489759</v>
      </c>
      <c r="O83" s="83">
        <f>IF(N83="","",N83/(1+'General inputs'!$H$32)^C83)</f>
        <v>560720.18624879105</v>
      </c>
      <c r="P83" s="199"/>
      <c r="Q83" s="88">
        <f t="shared" si="3"/>
        <v>5219506.2122266479</v>
      </c>
      <c r="R83" s="83">
        <f>IF(OR(LEFT(D83,4)*1&lt;LEFT('General inputs'!$I$16,4)*1,LEFT(D83,4)*1&gt;LEFT('General inputs'!$I$16,4)+'General inputs'!$H$38-1),"",Q83/(1+'General inputs'!$H$34)^C83)</f>
        <v>2815876.7007540828</v>
      </c>
      <c r="S83" s="199"/>
      <c r="T83" s="88">
        <v>10144251.1538342</v>
      </c>
      <c r="U83" s="83">
        <f>IF(OR(LEFT(D83,4)*1&lt;LEFT('General inputs'!$I$16,4)*1,LEFT(D83,4)*1&gt;LEFT('General inputs'!$I$16,4)+'General inputs'!$H$38-1),"",T83/(1+'General inputs'!$H$34)^C83)</f>
        <v>5472732.3446356431</v>
      </c>
      <c r="V83" s="55"/>
      <c r="W83" s="199">
        <v>5219.5062122266481</v>
      </c>
    </row>
    <row r="84" spans="2:23">
      <c r="B84" s="54"/>
      <c r="C84" s="28">
        <f>IF(D84='General inputs'!$I$16,0,IF(D84&lt;'General inputs'!$I$16,C85-1,C83+1))</f>
        <v>16</v>
      </c>
      <c r="D84" s="28" t="str">
        <f t="shared" si="1"/>
        <v>2040-41</v>
      </c>
      <c r="E84" s="83">
        <f>IF(LEFT(D84,4)*1&gt;LEFT('General inputs'!$I$16,4)+'General inputs'!$H$38-1,"",'ET inputs'!D57)</f>
        <v>0</v>
      </c>
      <c r="F84" s="83">
        <f>IF(LEFT(D84,4)*1&gt;LEFT('General inputs'!$I$16,4)+'General inputs'!$H$38-1,"",E84/(1+'General inputs'!$H$30)^C84)</f>
        <v>0</v>
      </c>
      <c r="G84" s="83">
        <f>IF(LEFT(D84,4)*1&gt;LEFT('General inputs'!$I$16,4)+'General inputs'!$H$38-1,"",E84/(1+'General inputs'!$H$32)^C84)</f>
        <v>0</v>
      </c>
      <c r="H84" s="83">
        <f>IF(LEFT(D84,4)*1&lt;LEFT('General inputs'!$I$16,4)*1,"",IF(LEFT(D84,4)*1&gt;LEFT('General inputs'!$I$16,4)+'General inputs'!$H$38-1,"",E84/(1+'General inputs'!$H$34)^C84))</f>
        <v>0</v>
      </c>
      <c r="I84" s="199"/>
      <c r="J84" s="113"/>
      <c r="K84" s="113"/>
      <c r="L84" s="83" t="str">
        <f>IF(LEFT(D84,4)*1&gt;LEFT('General inputs'!$I$18,4)*1,"",SUMIF('Post-1996 commissioned assets'!$F$22:$F$218,$D84,'Post-1996 commissioned assets'!$P$22:$P$218))</f>
        <v/>
      </c>
      <c r="M84" s="83" t="str">
        <f>IF(L84="","",L84/(1+'General inputs'!$H$32)^C84)</f>
        <v/>
      </c>
      <c r="N84" s="83">
        <f>IF(LEFT(D84,4)*1&lt;LEFT('General inputs'!$I$18,4)*1+1,"",SUMIF('Uncommissioned assets'!$F$22:$F$495,$D84,'Uncommissioned assets'!$P$22:$P$495))</f>
        <v>992387.13524521899</v>
      </c>
      <c r="O84" s="83">
        <f>IF(N84="","",N84/(1+'General inputs'!$H$32)^C84)</f>
        <v>513804.16718324856</v>
      </c>
      <c r="P84" s="199"/>
      <c r="Q84" s="88">
        <f t="shared" si="3"/>
        <v>5268617.8705050228</v>
      </c>
      <c r="R84" s="83">
        <f>IF(OR(LEFT(D84,4)*1&lt;LEFT('General inputs'!$I$16,4)*1,LEFT(D84,4)*1&gt;LEFT('General inputs'!$I$16,4)+'General inputs'!$H$38-1),"",Q84/(1+'General inputs'!$H$34)^C84)</f>
        <v>2727804.221779542</v>
      </c>
      <c r="S84" s="199"/>
      <c r="T84" s="88">
        <v>10298742.430927632</v>
      </c>
      <c r="U84" s="83">
        <f>IF(OR(LEFT(D84,4)*1&lt;LEFT('General inputs'!$I$16,4)*1,LEFT(D84,4)*1&gt;LEFT('General inputs'!$I$16,4)+'General inputs'!$H$38-1),"",T84/(1+'General inputs'!$H$34)^C84)</f>
        <v>5332129.5589447739</v>
      </c>
      <c r="V84" s="55"/>
      <c r="W84" s="199">
        <v>5268.6178705050224</v>
      </c>
    </row>
    <row r="85" spans="2:23">
      <c r="B85" s="54"/>
      <c r="C85" s="28">
        <f>IF(D85='General inputs'!$I$16,0,IF(D85&lt;'General inputs'!$I$16,C86-1,C84+1))</f>
        <v>17</v>
      </c>
      <c r="D85" s="28" t="str">
        <f t="shared" si="1"/>
        <v>2041-42</v>
      </c>
      <c r="E85" s="83">
        <f>IF(LEFT(D85,4)*1&gt;LEFT('General inputs'!$I$16,4)+'General inputs'!$H$38-1,"",'ET inputs'!D58)</f>
        <v>0</v>
      </c>
      <c r="F85" s="83">
        <f>IF(LEFT(D85,4)*1&gt;LEFT('General inputs'!$I$16,4)+'General inputs'!$H$38-1,"",E85/(1+'General inputs'!$H$30)^C85)</f>
        <v>0</v>
      </c>
      <c r="G85" s="83">
        <f>IF(LEFT(D85,4)*1&gt;LEFT('General inputs'!$I$16,4)+'General inputs'!$H$38-1,"",E85/(1+'General inputs'!$H$32)^C85)</f>
        <v>0</v>
      </c>
      <c r="H85" s="83">
        <f>IF(LEFT(D85,4)*1&lt;LEFT('General inputs'!$I$16,4)*1,"",IF(LEFT(D85,4)*1&gt;LEFT('General inputs'!$I$16,4)+'General inputs'!$H$38-1,"",E85/(1+'General inputs'!$H$34)^C85))</f>
        <v>0</v>
      </c>
      <c r="I85" s="199"/>
      <c r="J85" s="113"/>
      <c r="K85" s="113"/>
      <c r="L85" s="83" t="str">
        <f>IF(LEFT(D85,4)*1&gt;LEFT('General inputs'!$I$18,4)*1,"",SUMIF('Post-1996 commissioned assets'!$F$22:$F$218,$D85,'Post-1996 commissioned assets'!$P$22:$P$218))</f>
        <v/>
      </c>
      <c r="M85" s="83" t="str">
        <f>IF(L85="","",L85/(1+'General inputs'!$H$32)^C85)</f>
        <v/>
      </c>
      <c r="N85" s="83">
        <f>IF(LEFT(D85,4)*1&lt;LEFT('General inputs'!$I$18,4)*1+1,"",SUMIF('Uncommissioned assets'!$F$22:$F$495,$D85,'Uncommissioned assets'!$P$22:$P$495))</f>
        <v>1618383.9385040281</v>
      </c>
      <c r="O85" s="83">
        <f>IF(N85="","",N85/(1+'General inputs'!$H$32)^C85)</f>
        <v>804137.54053786944</v>
      </c>
      <c r="P85" s="199"/>
      <c r="Q85" s="88">
        <f t="shared" si="3"/>
        <v>5317729.528783395</v>
      </c>
      <c r="R85" s="83">
        <f>IF(OR(LEFT(D85,4)*1&lt;LEFT('General inputs'!$I$16,4)*1,LEFT(D85,4)*1&gt;LEFT('General inputs'!$I$16,4)+'General inputs'!$H$38-1),"",Q85/(1+'General inputs'!$H$34)^C85)</f>
        <v>2642256.7864052239</v>
      </c>
      <c r="S85" s="199"/>
      <c r="T85" s="88">
        <v>10457695.08314563</v>
      </c>
      <c r="U85" s="83">
        <f>IF(OR(LEFT(D85,4)*1&lt;LEFT('General inputs'!$I$16,4)*1,LEFT(D85,4)*1&gt;LEFT('General inputs'!$I$16,4)+'General inputs'!$H$38-1),"",T85/(1+'General inputs'!$H$34)^C85)</f>
        <v>5196186.7661817297</v>
      </c>
      <c r="V85" s="55"/>
      <c r="W85" s="199">
        <v>5317.7295287833949</v>
      </c>
    </row>
    <row r="86" spans="2:23">
      <c r="B86" s="54"/>
      <c r="C86" s="28">
        <f>IF(D86='General inputs'!$I$16,0,IF(D86&lt;'General inputs'!$I$16,C87-1,C85+1))</f>
        <v>18</v>
      </c>
      <c r="D86" s="28" t="str">
        <f t="shared" si="1"/>
        <v>2042-43</v>
      </c>
      <c r="E86" s="83">
        <f>IF(LEFT(D86,4)*1&gt;LEFT('General inputs'!$I$16,4)+'General inputs'!$H$38-1,"",'ET inputs'!D59)</f>
        <v>0</v>
      </c>
      <c r="F86" s="83">
        <f>IF(LEFT(D86,4)*1&gt;LEFT('General inputs'!$I$16,4)+'General inputs'!$H$38-1,"",E86/(1+'General inputs'!$H$30)^C86)</f>
        <v>0</v>
      </c>
      <c r="G86" s="83">
        <f>IF(LEFT(D86,4)*1&gt;LEFT('General inputs'!$I$16,4)+'General inputs'!$H$38-1,"",E86/(1+'General inputs'!$H$32)^C86)</f>
        <v>0</v>
      </c>
      <c r="H86" s="83">
        <f>IF(LEFT(D86,4)*1&lt;LEFT('General inputs'!$I$16,4)*1,"",IF(LEFT(D86,4)*1&gt;LEFT('General inputs'!$I$16,4)+'General inputs'!$H$38-1,"",E86/(1+'General inputs'!$H$34)^C86))</f>
        <v>0</v>
      </c>
      <c r="I86" s="199"/>
      <c r="J86" s="113"/>
      <c r="K86" s="113"/>
      <c r="L86" s="83" t="str">
        <f>IF(LEFT(D86,4)*1&gt;LEFT('General inputs'!$I$18,4)*1,"",SUMIF('Post-1996 commissioned assets'!$F$22:$F$218,$D86,'Post-1996 commissioned assets'!$P$22:$P$218))</f>
        <v/>
      </c>
      <c r="M86" s="83" t="str">
        <f>IF(L86="","",L86/(1+'General inputs'!$H$32)^C86)</f>
        <v/>
      </c>
      <c r="N86" s="83">
        <f>IF(LEFT(D86,4)*1&lt;LEFT('General inputs'!$I$18,4)*1+1,"",SUMIF('Uncommissioned assets'!$F$22:$F$495,$D86,'Uncommissioned assets'!$P$22:$P$495))</f>
        <v>1857170.4138117714</v>
      </c>
      <c r="O86" s="83">
        <f>IF(N86="","",N86/(1+'General inputs'!$H$32)^C86)</f>
        <v>885590.22668659943</v>
      </c>
      <c r="P86" s="199"/>
      <c r="Q86" s="88">
        <f t="shared" si="3"/>
        <v>5366841.1870617699</v>
      </c>
      <c r="R86" s="83">
        <f>IF(OR(LEFT(D86,4)*1&lt;LEFT('General inputs'!$I$16,4)*1,LEFT(D86,4)*1&gt;LEFT('General inputs'!$I$16,4)+'General inputs'!$H$38-1),"",Q86/(1+'General inputs'!$H$34)^C86)</f>
        <v>2559173.9283020478</v>
      </c>
      <c r="S86" s="199"/>
      <c r="T86" s="88">
        <v>10587952.969581967</v>
      </c>
      <c r="U86" s="83">
        <f>IF(OR(LEFT(D86,4)*1&lt;LEFT('General inputs'!$I$16,4)*1,LEFT(D86,4)*1&gt;LEFT('General inputs'!$I$16,4)+'General inputs'!$H$38-1),"",T86/(1+'General inputs'!$H$34)^C86)</f>
        <v>5048856.906585142</v>
      </c>
      <c r="V86" s="55"/>
      <c r="W86" s="199">
        <v>5366.8411870617701</v>
      </c>
    </row>
    <row r="87" spans="2:23">
      <c r="B87" s="54"/>
      <c r="C87" s="28">
        <f>IF(D87='General inputs'!$I$16,0,IF(D87&lt;'General inputs'!$I$16,C88-1,C86+1))</f>
        <v>19</v>
      </c>
      <c r="D87" s="28" t="str">
        <f t="shared" si="1"/>
        <v>2043-44</v>
      </c>
      <c r="E87" s="83">
        <f>IF(LEFT(D87,4)*1&gt;LEFT('General inputs'!$I$16,4)+'General inputs'!$H$38-1,"",'ET inputs'!D60)</f>
        <v>0</v>
      </c>
      <c r="F87" s="83">
        <f>IF(LEFT(D87,4)*1&gt;LEFT('General inputs'!$I$16,4)+'General inputs'!$H$38-1,"",E87/(1+'General inputs'!$H$30)^C87)</f>
        <v>0</v>
      </c>
      <c r="G87" s="83">
        <f>IF(LEFT(D87,4)*1&gt;LEFT('General inputs'!$I$16,4)+'General inputs'!$H$38-1,"",E87/(1+'General inputs'!$H$32)^C87)</f>
        <v>0</v>
      </c>
      <c r="H87" s="83">
        <f>IF(LEFT(D87,4)*1&lt;LEFT('General inputs'!$I$16,4)*1,"",IF(LEFT(D87,4)*1&gt;LEFT('General inputs'!$I$16,4)+'General inputs'!$H$38-1,"",E87/(1+'General inputs'!$H$34)^C87))</f>
        <v>0</v>
      </c>
      <c r="I87" s="199"/>
      <c r="J87" s="113"/>
      <c r="K87" s="113"/>
      <c r="L87" s="83" t="str">
        <f>IF(LEFT(D87,4)*1&gt;LEFT('General inputs'!$I$18,4)*1,"",SUMIF('Post-1996 commissioned assets'!$F$22:$F$218,$D87,'Post-1996 commissioned assets'!$P$22:$P$218))</f>
        <v/>
      </c>
      <c r="M87" s="83" t="str">
        <f>IF(L87="","",L87/(1+'General inputs'!$H$32)^C87)</f>
        <v/>
      </c>
      <c r="N87" s="83">
        <f>IF(LEFT(D87,4)*1&lt;LEFT('General inputs'!$I$18,4)*1+1,"",SUMIF('Uncommissioned assets'!$F$22:$F$495,$D87,'Uncommissioned assets'!$P$22:$P$495))</f>
        <v>1885313.3415652004</v>
      </c>
      <c r="O87" s="83">
        <f>IF(N87="","",N87/(1+'General inputs'!$H$32)^C87)</f>
        <v>862773.66533639468</v>
      </c>
      <c r="P87" s="199"/>
      <c r="Q87" s="88">
        <f t="shared" si="3"/>
        <v>5369537.2232309841</v>
      </c>
      <c r="R87" s="83">
        <f>IF(OR(LEFT(D87,4)*1&lt;LEFT('General inputs'!$I$16,4)*1,LEFT(D87,4)*1&gt;LEFT('General inputs'!$I$16,4)+'General inputs'!$H$38-1),"",Q87/(1+'General inputs'!$H$34)^C87)</f>
        <v>2457254.8282086132</v>
      </c>
      <c r="S87" s="199"/>
      <c r="T87" s="88">
        <v>10723024.531054348</v>
      </c>
      <c r="U87" s="83">
        <f>IF(OR(LEFT(D87,4)*1&lt;LEFT('General inputs'!$I$16,4)*1,LEFT(D87,4)*1&gt;LEFT('General inputs'!$I$16,4)+'General inputs'!$H$38-1),"",T87/(1+'General inputs'!$H$34)^C87)</f>
        <v>4907164.7530320548</v>
      </c>
      <c r="V87" s="55"/>
      <c r="W87" s="199">
        <v>5369.5372232309837</v>
      </c>
    </row>
    <row r="88" spans="2:23">
      <c r="B88" s="54"/>
      <c r="C88" s="28">
        <f>IF(D88='General inputs'!$I$16,0,IF(D88&lt;'General inputs'!$I$16,C89-1,C87+1))</f>
        <v>20</v>
      </c>
      <c r="D88" s="28" t="str">
        <f t="shared" si="1"/>
        <v>2044-45</v>
      </c>
      <c r="E88" s="83">
        <f>IF(LEFT(D88,4)*1&gt;LEFT('General inputs'!$I$16,4)+'General inputs'!$H$38-1,"",'ET inputs'!D61)</f>
        <v>0</v>
      </c>
      <c r="F88" s="83">
        <f>IF(LEFT(D88,4)*1&gt;LEFT('General inputs'!$I$16,4)+'General inputs'!$H$38-1,"",E88/(1+'General inputs'!$H$30)^C88)</f>
        <v>0</v>
      </c>
      <c r="G88" s="83">
        <f>IF(LEFT(D88,4)*1&gt;LEFT('General inputs'!$I$16,4)+'General inputs'!$H$38-1,"",E88/(1+'General inputs'!$H$32)^C88)</f>
        <v>0</v>
      </c>
      <c r="H88" s="83">
        <f>IF(LEFT(D88,4)*1&lt;LEFT('General inputs'!$I$16,4)*1,"",IF(LEFT(D88,4)*1&gt;LEFT('General inputs'!$I$16,4)+'General inputs'!$H$38-1,"",E88/(1+'General inputs'!$H$34)^C88))</f>
        <v>0</v>
      </c>
      <c r="I88" s="199"/>
      <c r="J88" s="113"/>
      <c r="K88" s="113"/>
      <c r="L88" s="83" t="str">
        <f>IF(LEFT(D88,4)*1&gt;LEFT('General inputs'!$I$18,4)*1,"",SUMIF('Post-1996 commissioned assets'!$F$22:$F$218,$D88,'Post-1996 commissioned assets'!$P$22:$P$218))</f>
        <v/>
      </c>
      <c r="M88" s="83" t="str">
        <f>IF(L88="","",L88/(1+'General inputs'!$H$32)^C88)</f>
        <v/>
      </c>
      <c r="N88" s="83">
        <f>IF(LEFT(D88,4)*1&lt;LEFT('General inputs'!$I$18,4)*1+1,"",SUMIF('Uncommissioned assets'!$F$22:$F$495,$D88,'Uncommissioned assets'!$P$22:$P$495))</f>
        <v>1894473.6065624182</v>
      </c>
      <c r="O88" s="83">
        <f>IF(N88="","",N88/(1+'General inputs'!$H$32)^C88)</f>
        <v>832020.79302608862</v>
      </c>
      <c r="P88" s="199"/>
      <c r="Q88" s="88">
        <f t="shared" si="3"/>
        <v>5372233.2594001982</v>
      </c>
      <c r="R88" s="83">
        <f>IF(OR(LEFT(D88,4)*1&lt;LEFT('General inputs'!$I$16,4)*1,LEFT(D88,4)*1&gt;LEFT('General inputs'!$I$16,4)+'General inputs'!$H$38-1),"",Q88/(1+'General inputs'!$H$34)^C88)</f>
        <v>2359394.0614025719</v>
      </c>
      <c r="S88" s="199"/>
      <c r="T88" s="88">
        <v>10863096.424836213</v>
      </c>
      <c r="U88" s="83">
        <f>IF(OR(LEFT(D88,4)*1&lt;LEFT('General inputs'!$I$16,4)*1,LEFT(D88,4)*1&gt;LEFT('General inputs'!$I$16,4)+'General inputs'!$H$38-1),"",T88/(1+'General inputs'!$H$34)^C88)</f>
        <v>4770888.3727925951</v>
      </c>
      <c r="V88" s="55"/>
      <c r="W88" s="199">
        <v>5372.2332594001982</v>
      </c>
    </row>
    <row r="89" spans="2:23">
      <c r="B89" s="54"/>
      <c r="C89" s="28">
        <f>IF(D89='General inputs'!$I$16,0,IF(D89&lt;'General inputs'!$I$16,C90-1,C88+1))</f>
        <v>21</v>
      </c>
      <c r="D89" s="28" t="str">
        <f t="shared" si="1"/>
        <v>2045-46</v>
      </c>
      <c r="E89" s="83">
        <f>IF(LEFT(D89,4)*1&gt;LEFT('General inputs'!$I$16,4)+'General inputs'!$H$38-1,"",'ET inputs'!D62)</f>
        <v>0</v>
      </c>
      <c r="F89" s="83">
        <f>IF(LEFT(D89,4)*1&gt;LEFT('General inputs'!$I$16,4)+'General inputs'!$H$38-1,"",E89/(1+'General inputs'!$H$30)^C89)</f>
        <v>0</v>
      </c>
      <c r="G89" s="83">
        <f>IF(LEFT(D89,4)*1&gt;LEFT('General inputs'!$I$16,4)+'General inputs'!$H$38-1,"",E89/(1+'General inputs'!$H$32)^C89)</f>
        <v>0</v>
      </c>
      <c r="H89" s="83">
        <f>IF(LEFT(D89,4)*1&lt;LEFT('General inputs'!$I$16,4)*1,"",IF(LEFT(D89,4)*1&gt;LEFT('General inputs'!$I$16,4)+'General inputs'!$H$38-1,"",E89/(1+'General inputs'!$H$34)^C89))</f>
        <v>0</v>
      </c>
      <c r="I89" s="199"/>
      <c r="J89" s="113"/>
      <c r="K89" s="113"/>
      <c r="L89" s="83" t="str">
        <f>IF(LEFT(D89,4)*1&gt;LEFT('General inputs'!$I$18,4)*1,"",SUMIF('Post-1996 commissioned assets'!$F$22:$F$218,$D89,'Post-1996 commissioned assets'!$P$22:$P$218))</f>
        <v/>
      </c>
      <c r="M89" s="83" t="str">
        <f>IF(L89="","",L89/(1+'General inputs'!$H$32)^C89)</f>
        <v/>
      </c>
      <c r="N89" s="83">
        <f>IF(LEFT(D89,4)*1&lt;LEFT('General inputs'!$I$18,4)*1+1,"",SUMIF('Uncommissioned assets'!$F$22:$F$495,$D89,'Uncommissioned assets'!$P$22:$P$495))</f>
        <v>1921779.0639001324</v>
      </c>
      <c r="O89" s="83">
        <f>IF(N89="","",N89/(1+'General inputs'!$H$32)^C89)</f>
        <v>809993.17509601335</v>
      </c>
      <c r="P89" s="199"/>
      <c r="Q89" s="88">
        <f t="shared" si="3"/>
        <v>5374929.2955694115</v>
      </c>
      <c r="R89" s="83">
        <f>IF(OR(LEFT(D89,4)*1&lt;LEFT('General inputs'!$I$16,4)*1,LEFT(D89,4)*1&gt;LEFT('General inputs'!$I$16,4)+'General inputs'!$H$38-1),"",Q89/(1+'General inputs'!$H$34)^C89)</f>
        <v>2265430.0527134314</v>
      </c>
      <c r="S89" s="199"/>
      <c r="T89" s="88">
        <v>11008362.686146047</v>
      </c>
      <c r="U89" s="83">
        <f>IF(OR(LEFT(D89,4)*1&lt;LEFT('General inputs'!$I$16,4)*1,LEFT(D89,4)*1&gt;LEFT('General inputs'!$I$16,4)+'General inputs'!$H$38-1),"",T89/(1+'General inputs'!$H$34)^C89)</f>
        <v>4639814.6448031459</v>
      </c>
      <c r="V89" s="55"/>
      <c r="W89" s="199">
        <v>5374.9292955694118</v>
      </c>
    </row>
    <row r="90" spans="2:23">
      <c r="B90" s="54"/>
      <c r="C90" s="28">
        <f>IF(D90='General inputs'!$I$16,0,IF(D90&lt;'General inputs'!$I$16,C91-1,C89+1))</f>
        <v>22</v>
      </c>
      <c r="D90" s="28" t="str">
        <f t="shared" si="1"/>
        <v>2046-47</v>
      </c>
      <c r="E90" s="83">
        <f>IF(LEFT(D90,4)*1&gt;LEFT('General inputs'!$I$16,4)+'General inputs'!$H$38-1,"",'ET inputs'!D63)</f>
        <v>0</v>
      </c>
      <c r="F90" s="83">
        <f>IF(LEFT(D90,4)*1&gt;LEFT('General inputs'!$I$16,4)+'General inputs'!$H$38-1,"",E90/(1+'General inputs'!$H$30)^C90)</f>
        <v>0</v>
      </c>
      <c r="G90" s="83">
        <f>IF(LEFT(D90,4)*1&gt;LEFT('General inputs'!$I$16,4)+'General inputs'!$H$38-1,"",E90/(1+'General inputs'!$H$32)^C90)</f>
        <v>0</v>
      </c>
      <c r="H90" s="83">
        <f>IF(LEFT(D90,4)*1&lt;LEFT('General inputs'!$I$16,4)*1,"",IF(LEFT(D90,4)*1&gt;LEFT('General inputs'!$I$16,4)+'General inputs'!$H$38-1,"",E90/(1+'General inputs'!$H$34)^C90))</f>
        <v>0</v>
      </c>
      <c r="I90" s="199"/>
      <c r="J90" s="113"/>
      <c r="K90" s="113"/>
      <c r="L90" s="83" t="str">
        <f>IF(LEFT(D90,4)*1&gt;LEFT('General inputs'!$I$18,4)*1,"",SUMIF('Post-1996 commissioned assets'!$F$22:$F$218,$D90,'Post-1996 commissioned assets'!$P$22:$P$218))</f>
        <v/>
      </c>
      <c r="M90" s="83" t="str">
        <f>IF(L90="","",L90/(1+'General inputs'!$H$32)^C90)</f>
        <v/>
      </c>
      <c r="N90" s="83">
        <f>IF(LEFT(D90,4)*1&lt;LEFT('General inputs'!$I$18,4)*1+1,"",SUMIF('Uncommissioned assets'!$F$22:$F$495,$D90,'Uncommissioned assets'!$P$22:$P$495))</f>
        <v>1958316.3047377043</v>
      </c>
      <c r="O90" s="83">
        <f>IF(N90="","",N90/(1+'General inputs'!$H$32)^C90)</f>
        <v>792123.72778792796</v>
      </c>
      <c r="P90" s="199"/>
      <c r="Q90" s="88">
        <f t="shared" si="3"/>
        <v>5377625.3317386257</v>
      </c>
      <c r="R90" s="83">
        <f>IF(OR(LEFT(D90,4)*1&lt;LEFT('General inputs'!$I$16,4)*1,LEFT(D90,4)*1&gt;LEFT('General inputs'!$I$16,4)+'General inputs'!$H$38-1),"",Q90/(1+'General inputs'!$H$34)^C90)</f>
        <v>2175207.6588026672</v>
      </c>
      <c r="S90" s="199"/>
      <c r="T90" s="88">
        <v>11159025.021939946</v>
      </c>
      <c r="U90" s="83">
        <f>IF(OR(LEFT(D90,4)*1&lt;LEFT('General inputs'!$I$16,4)*1,LEFT(D90,4)*1&gt;LEFT('General inputs'!$I$16,4)+'General inputs'!$H$38-1),"",T90/(1+'General inputs'!$H$34)^C90)</f>
        <v>4513738.9079961572</v>
      </c>
      <c r="V90" s="55"/>
      <c r="W90" s="199">
        <v>5377.6253317386254</v>
      </c>
    </row>
    <row r="91" spans="2:23">
      <c r="B91" s="54"/>
      <c r="C91" s="28">
        <f>IF(D91='General inputs'!$I$16,0,IF(D91&lt;'General inputs'!$I$16,C92-1,C90+1))</f>
        <v>23</v>
      </c>
      <c r="D91" s="28" t="str">
        <f t="shared" si="1"/>
        <v>2047-48</v>
      </c>
      <c r="E91" s="83">
        <f>IF(LEFT(D91,4)*1&gt;LEFT('General inputs'!$I$16,4)+'General inputs'!$H$38-1,"",'ET inputs'!D64)</f>
        <v>0</v>
      </c>
      <c r="F91" s="83">
        <f>IF(LEFT(D91,4)*1&gt;LEFT('General inputs'!$I$16,4)+'General inputs'!$H$38-1,"",E91/(1+'General inputs'!$H$30)^C91)</f>
        <v>0</v>
      </c>
      <c r="G91" s="83">
        <f>IF(LEFT(D91,4)*1&gt;LEFT('General inputs'!$I$16,4)+'General inputs'!$H$38-1,"",E91/(1+'General inputs'!$H$32)^C91)</f>
        <v>0</v>
      </c>
      <c r="H91" s="83">
        <f>IF(LEFT(D91,4)*1&lt;LEFT('General inputs'!$I$16,4)*1,"",IF(LEFT(D91,4)*1&gt;LEFT('General inputs'!$I$16,4)+'General inputs'!$H$38-1,"",E91/(1+'General inputs'!$H$34)^C91))</f>
        <v>0</v>
      </c>
      <c r="I91" s="199"/>
      <c r="J91" s="113"/>
      <c r="K91" s="113"/>
      <c r="L91" s="83" t="str">
        <f>IF(LEFT(D91,4)*1&gt;LEFT('General inputs'!$I$18,4)*1,"",SUMIF('Post-1996 commissioned assets'!$F$22:$F$218,$D91,'Post-1996 commissioned assets'!$P$22:$P$218))</f>
        <v/>
      </c>
      <c r="M91" s="83" t="str">
        <f>IF(L91="","",L91/(1+'General inputs'!$H$32)^C91)</f>
        <v/>
      </c>
      <c r="N91" s="83">
        <f>IF(LEFT(D91,4)*1&lt;LEFT('General inputs'!$I$18,4)*1+1,"",SUMIF('Uncommissioned assets'!$F$22:$F$495,$D91,'Uncommissioned assets'!$P$22:$P$495))</f>
        <v>1912366.1682299883</v>
      </c>
      <c r="O91" s="83">
        <f>IF(N91="","",N91/(1+'General inputs'!$H$32)^C91)</f>
        <v>742358.2098225021</v>
      </c>
      <c r="P91" s="199"/>
      <c r="Q91" s="88">
        <f t="shared" si="3"/>
        <v>5380321.3679078398</v>
      </c>
      <c r="R91" s="83">
        <f>IF(OR(LEFT(D91,4)*1&lt;LEFT('General inputs'!$I$16,4)*1,LEFT(D91,4)*1&gt;LEFT('General inputs'!$I$16,4)+'General inputs'!$H$38-1),"",Q91/(1+'General inputs'!$H$34)^C91)</f>
        <v>2088577.9121718237</v>
      </c>
      <c r="S91" s="199"/>
      <c r="T91" s="88">
        <v>11315193.319213964</v>
      </c>
      <c r="U91" s="83">
        <f>IF(OR(LEFT(D91,4)*1&lt;LEFT('General inputs'!$I$16,4)*1,LEFT(D91,4)*1&gt;LEFT('General inputs'!$I$16,4)+'General inputs'!$H$38-1),"",T91/(1+'General inputs'!$H$34)^C91)</f>
        <v>4392425.8835962666</v>
      </c>
      <c r="V91" s="55"/>
      <c r="W91" s="199">
        <v>5380.3213679078399</v>
      </c>
    </row>
    <row r="92" spans="2:23">
      <c r="B92" s="54"/>
      <c r="C92" s="28">
        <f>IF(D92='General inputs'!$I$16,0,IF(D92&lt;'General inputs'!$I$16,C93-1,C91+1))</f>
        <v>24</v>
      </c>
      <c r="D92" s="28" t="str">
        <f t="shared" si="1"/>
        <v>2048-49</v>
      </c>
      <c r="E92" s="83">
        <f>IF(LEFT(D92,4)*1&gt;LEFT('General inputs'!$I$16,4)+'General inputs'!$H$38-1,"",'ET inputs'!D65)</f>
        <v>0</v>
      </c>
      <c r="F92" s="83">
        <f>IF(LEFT(D92,4)*1&gt;LEFT('General inputs'!$I$16,4)+'General inputs'!$H$38-1,"",E92/(1+'General inputs'!$H$30)^C92)</f>
        <v>0</v>
      </c>
      <c r="G92" s="83">
        <f>IF(LEFT(D92,4)*1&gt;LEFT('General inputs'!$I$16,4)+'General inputs'!$H$38-1,"",E92/(1+'General inputs'!$H$32)^C92)</f>
        <v>0</v>
      </c>
      <c r="H92" s="83">
        <f>IF(LEFT(D92,4)*1&lt;LEFT('General inputs'!$I$16,4)*1,"",IF(LEFT(D92,4)*1&gt;LEFT('General inputs'!$I$16,4)+'General inputs'!$H$38-1,"",E92/(1+'General inputs'!$H$34)^C92))</f>
        <v>0</v>
      </c>
      <c r="I92" s="199"/>
      <c r="J92" s="113"/>
      <c r="K92" s="113"/>
      <c r="L92" s="83" t="str">
        <f>IF(LEFT(D92,4)*1&gt;LEFT('General inputs'!$I$18,4)*1,"",SUMIF('Post-1996 commissioned assets'!$F$22:$F$218,$D92,'Post-1996 commissioned assets'!$P$22:$P$218))</f>
        <v/>
      </c>
      <c r="M92" s="83" t="str">
        <f>IF(L92="","",L92/(1+'General inputs'!$H$32)^C92)</f>
        <v/>
      </c>
      <c r="N92" s="83">
        <f>IF(LEFT(D92,4)*1&lt;LEFT('General inputs'!$I$18,4)*1+1,"",SUMIF('Uncommissioned assets'!$F$22:$F$495,$D92,'Uncommissioned assets'!$P$22:$P$495))</f>
        <v>1972725.4556053816</v>
      </c>
      <c r="O92" s="83">
        <f>IF(N92="","",N92/(1+'General inputs'!$H$32)^C92)</f>
        <v>734922.24585157423</v>
      </c>
      <c r="P92" s="199"/>
      <c r="Q92" s="88">
        <f t="shared" si="3"/>
        <v>5380321.3679078398</v>
      </c>
      <c r="R92" s="83">
        <f>IF(OR(LEFT(D92,4)*1&lt;LEFT('General inputs'!$I$16,4)*1,LEFT(D92,4)*1&gt;LEFT('General inputs'!$I$16,4)+'General inputs'!$H$38-1),"",Q92/(1+'General inputs'!$H$34)^C92)</f>
        <v>2004393.3898002144</v>
      </c>
      <c r="S92" s="199"/>
      <c r="T92" s="88">
        <v>11477185.354395701</v>
      </c>
      <c r="U92" s="83">
        <f>IF(OR(LEFT(D92,4)*1&lt;LEFT('General inputs'!$I$16,4)*1,LEFT(D92,4)*1&gt;LEFT('General inputs'!$I$16,4)+'General inputs'!$H$38-1),"",T92/(1+'General inputs'!$H$34)^C92)</f>
        <v>4275728.6944010342</v>
      </c>
      <c r="V92" s="55"/>
      <c r="W92" s="199">
        <v>5380.3213679078399</v>
      </c>
    </row>
    <row r="93" spans="2:23">
      <c r="B93" s="54"/>
      <c r="C93" s="28">
        <f>IF(D93='General inputs'!$I$16,0,IF(D93&lt;'General inputs'!$I$16,C94-1,C92+1))</f>
        <v>25</v>
      </c>
      <c r="D93" s="28" t="str">
        <f t="shared" si="1"/>
        <v>2049-50</v>
      </c>
      <c r="E93" s="83">
        <f>IF(LEFT(D93,4)*1&gt;LEFT('General inputs'!$I$16,4)+'General inputs'!$H$38-1,"",'ET inputs'!D66)</f>
        <v>0</v>
      </c>
      <c r="F93" s="83">
        <f>IF(LEFT(D93,4)*1&gt;LEFT('General inputs'!$I$16,4)+'General inputs'!$H$38-1,"",E93/(1+'General inputs'!$H$30)^C93)</f>
        <v>0</v>
      </c>
      <c r="G93" s="83">
        <f>IF(LEFT(D93,4)*1&gt;LEFT('General inputs'!$I$16,4)+'General inputs'!$H$38-1,"",E93/(1+'General inputs'!$H$32)^C93)</f>
        <v>0</v>
      </c>
      <c r="H93" s="83">
        <f>IF(LEFT(D93,4)*1&lt;LEFT('General inputs'!$I$16,4)*1,"",IF(LEFT(D93,4)*1&gt;LEFT('General inputs'!$I$16,4)+'General inputs'!$H$38-1,"",E93/(1+'General inputs'!$H$34)^C93))</f>
        <v>0</v>
      </c>
      <c r="I93" s="199"/>
      <c r="J93" s="113"/>
      <c r="K93" s="113"/>
      <c r="L93" s="83" t="str">
        <f>IF(LEFT(D93,4)*1&gt;LEFT('General inputs'!$I$18,4)*1,"",SUMIF('Post-1996 commissioned assets'!$F$22:$F$218,$D93,'Post-1996 commissioned assets'!$P$22:$P$218))</f>
        <v/>
      </c>
      <c r="M93" s="83" t="str">
        <f>IF(L93="","",L93/(1+'General inputs'!$H$32)^C93)</f>
        <v/>
      </c>
      <c r="N93" s="83">
        <f>IF(LEFT(D93,4)*1&lt;LEFT('General inputs'!$I$18,4)*1+1,"",SUMIF('Uncommissioned assets'!$F$22:$F$495,$D93,'Uncommissioned assets'!$P$22:$P$495))</f>
        <v>2110886.3144056094</v>
      </c>
      <c r="O93" s="83">
        <f>IF(N93="","",N93/(1+'General inputs'!$H$32)^C93)</f>
        <v>754695.69061681419</v>
      </c>
      <c r="P93" s="199"/>
      <c r="Q93" s="88">
        <f t="shared" si="3"/>
        <v>5380321.3679078398</v>
      </c>
      <c r="R93" s="83">
        <f>IF(OR(LEFT(D93,4)*1&lt;LEFT('General inputs'!$I$16,4)*1,LEFT(D93,4)*1&gt;LEFT('General inputs'!$I$16,4)+'General inputs'!$H$38-1),"",Q93/(1+'General inputs'!$H$34)^C93)</f>
        <v>1923602.1015357145</v>
      </c>
      <c r="S93" s="199"/>
      <c r="T93" s="88">
        <v>11645227.732091714</v>
      </c>
      <c r="U93" s="83">
        <f>IF(OR(LEFT(D93,4)*1&lt;LEFT('General inputs'!$I$16,4)*1,LEFT(D93,4)*1&gt;LEFT('General inputs'!$I$16,4)+'General inputs'!$H$38-1),"",T93/(1+'General inputs'!$H$34)^C93)</f>
        <v>4163465.8985108617</v>
      </c>
      <c r="V93" s="55"/>
      <c r="W93" s="199">
        <v>5380.3213679078399</v>
      </c>
    </row>
    <row r="94" spans="2:23">
      <c r="B94" s="54"/>
      <c r="C94" s="28">
        <f>IF(D94='General inputs'!$I$16,0,IF(D94&lt;'General inputs'!$I$16,C95-1,C93+1))</f>
        <v>26</v>
      </c>
      <c r="D94" s="28" t="str">
        <f t="shared" si="1"/>
        <v>2050-51</v>
      </c>
      <c r="E94" s="83">
        <f>IF(LEFT(D94,4)*1&gt;LEFT('General inputs'!$I$16,4)+'General inputs'!$H$38-1,"",'ET inputs'!D67)</f>
        <v>0</v>
      </c>
      <c r="F94" s="83">
        <f>IF(LEFT(D94,4)*1&gt;LEFT('General inputs'!$I$16,4)+'General inputs'!$H$38-1,"",E94/(1+'General inputs'!$H$30)^C94)</f>
        <v>0</v>
      </c>
      <c r="G94" s="83">
        <f>IF(LEFT(D94,4)*1&gt;LEFT('General inputs'!$I$16,4)+'General inputs'!$H$38-1,"",E94/(1+'General inputs'!$H$32)^C94)</f>
        <v>0</v>
      </c>
      <c r="H94" s="83">
        <f>IF(LEFT(D94,4)*1&lt;LEFT('General inputs'!$I$16,4)*1,"",IF(LEFT(D94,4)*1&gt;LEFT('General inputs'!$I$16,4)+'General inputs'!$H$38-1,"",E94/(1+'General inputs'!$H$34)^C94))</f>
        <v>0</v>
      </c>
      <c r="I94" s="199"/>
      <c r="J94" s="113"/>
      <c r="K94" s="113"/>
      <c r="L94" s="83" t="str">
        <f>IF(LEFT(D94,4)*1&gt;LEFT('General inputs'!$I$18,4)*1,"",SUMIF('Post-1996 commissioned assets'!$F$22:$F$218,$D94,'Post-1996 commissioned assets'!$P$22:$P$218))</f>
        <v/>
      </c>
      <c r="M94" s="83" t="str">
        <f>IF(L94="","",L94/(1+'General inputs'!$H$32)^C94)</f>
        <v/>
      </c>
      <c r="N94" s="83">
        <f>IF(LEFT(D94,4)*1&lt;LEFT('General inputs'!$I$18,4)*1+1,"",SUMIF('Uncommissioned assets'!$F$22:$F$495,$D94,'Uncommissioned assets'!$P$22:$P$495))</f>
        <v>5615751.8419933841</v>
      </c>
      <c r="O94" s="83">
        <f>IF(N94="","",N94/(1+'General inputs'!$H$32)^C94)</f>
        <v>1926846.929102422</v>
      </c>
      <c r="P94" s="199"/>
      <c r="Q94" s="88">
        <f t="shared" si="3"/>
        <v>5380321.3679078398</v>
      </c>
      <c r="R94" s="83">
        <f>IF(OR(LEFT(D94,4)*1&lt;LEFT('General inputs'!$I$16,4)*1,LEFT(D94,4)*1&gt;LEFT('General inputs'!$I$16,4)+'General inputs'!$H$38-1),"",Q94/(1+'General inputs'!$H$34)^C94)</f>
        <v>1846067.2759459831</v>
      </c>
      <c r="S94" s="199"/>
      <c r="T94" s="88">
        <v>11819556.02591918</v>
      </c>
      <c r="U94" s="83">
        <f>IF(OR(LEFT(D94,4)*1&lt;LEFT('General inputs'!$I$16,4)*1,LEFT(D94,4)*1&gt;LEFT('General inputs'!$I$16,4)+'General inputs'!$H$38-1),"",T94/(1+'General inputs'!$H$34)^C94)</f>
        <v>4055463.2527729897</v>
      </c>
      <c r="V94" s="55"/>
      <c r="W94" s="199">
        <v>5380.3213679078399</v>
      </c>
    </row>
    <row r="95" spans="2:23">
      <c r="B95" s="54"/>
      <c r="C95" s="28">
        <f>IF(D95='General inputs'!$I$16,0,IF(D95&lt;'General inputs'!$I$16,C96-1,C94+1))</f>
        <v>27</v>
      </c>
      <c r="D95" s="28" t="str">
        <f t="shared" si="1"/>
        <v>2051-52</v>
      </c>
      <c r="E95" s="83">
        <f>IF(LEFT(D95,4)*1&gt;LEFT('General inputs'!$I$16,4)+'General inputs'!$H$38-1,"",'ET inputs'!D68)</f>
        <v>0</v>
      </c>
      <c r="F95" s="83">
        <f>IF(LEFT(D95,4)*1&gt;LEFT('General inputs'!$I$16,4)+'General inputs'!$H$38-1,"",E95/(1+'General inputs'!$H$30)^C95)</f>
        <v>0</v>
      </c>
      <c r="G95" s="83">
        <f>IF(LEFT(D95,4)*1&gt;LEFT('General inputs'!$I$16,4)+'General inputs'!$H$38-1,"",E95/(1+'General inputs'!$H$32)^C95)</f>
        <v>0</v>
      </c>
      <c r="H95" s="83">
        <f>IF(LEFT(D95,4)*1&lt;LEFT('General inputs'!$I$16,4)*1,"",IF(LEFT(D95,4)*1&gt;LEFT('General inputs'!$I$16,4)+'General inputs'!$H$38-1,"",E95/(1+'General inputs'!$H$34)^C95))</f>
        <v>0</v>
      </c>
      <c r="I95" s="199"/>
      <c r="J95" s="113"/>
      <c r="K95" s="113"/>
      <c r="L95" s="83" t="str">
        <f>IF(LEFT(D95,4)*1&gt;LEFT('General inputs'!$I$18,4)*1,"",SUMIF('Post-1996 commissioned assets'!$F$22:$F$218,$D95,'Post-1996 commissioned assets'!$P$22:$P$218))</f>
        <v/>
      </c>
      <c r="M95" s="83" t="str">
        <f>IF(L95="","",L95/(1+'General inputs'!$H$32)^C95)</f>
        <v/>
      </c>
      <c r="N95" s="83">
        <f>IF(LEFT(D95,4)*1&lt;LEFT('General inputs'!$I$18,4)*1+1,"",SUMIF('Uncommissioned assets'!$F$22:$F$495,$D95,'Uncommissioned assets'!$P$22:$P$495))</f>
        <v>11041445.209681924</v>
      </c>
      <c r="O95" s="83">
        <f>IF(N95="","",N95/(1+'General inputs'!$H$32)^C95)</f>
        <v>3635779.2749517756</v>
      </c>
      <c r="P95" s="199"/>
      <c r="Q95" s="88">
        <f t="shared" si="3"/>
        <v>5380321.3679078398</v>
      </c>
      <c r="R95" s="83">
        <f>IF(OR(LEFT(D95,4)*1&lt;LEFT('General inputs'!$I$16,4)*1,LEFT(D95,4)*1&gt;LEFT('General inputs'!$I$16,4)+'General inputs'!$H$38-1),"",Q95/(1+'General inputs'!$H$34)^C95)</f>
        <v>1771657.6544587167</v>
      </c>
      <c r="S95" s="199"/>
      <c r="T95" s="88">
        <v>12000415.135838712</v>
      </c>
      <c r="U95" s="83">
        <f>IF(OR(LEFT(D95,4)*1&lt;LEFT('General inputs'!$I$16,4)*1,LEFT(D95,4)*1&gt;LEFT('General inputs'!$I$16,4)+'General inputs'!$H$38-1),"",T95/(1+'General inputs'!$H$34)^C95)</f>
        <v>3951553.4255824899</v>
      </c>
      <c r="V95" s="55"/>
      <c r="W95" s="199">
        <v>5380.3213679078399</v>
      </c>
    </row>
    <row r="96" spans="2:23">
      <c r="B96" s="54"/>
      <c r="C96" s="28">
        <f>IF(D96='General inputs'!$I$16,0,IF(D96&lt;'General inputs'!$I$16,C97-1,C95+1))</f>
        <v>28</v>
      </c>
      <c r="D96" s="28" t="str">
        <f t="shared" si="1"/>
        <v>2052-53</v>
      </c>
      <c r="E96" s="83">
        <f>IF(LEFT(D96,4)*1&gt;LEFT('General inputs'!$I$16,4)+'General inputs'!$H$38-1,"",'ET inputs'!D69)</f>
        <v>0</v>
      </c>
      <c r="F96" s="83">
        <f>IF(LEFT(D96,4)*1&gt;LEFT('General inputs'!$I$16,4)+'General inputs'!$H$38-1,"",E96/(1+'General inputs'!$H$30)^C96)</f>
        <v>0</v>
      </c>
      <c r="G96" s="83">
        <f>IF(LEFT(D96,4)*1&gt;LEFT('General inputs'!$I$16,4)+'General inputs'!$H$38-1,"",E96/(1+'General inputs'!$H$32)^C96)</f>
        <v>0</v>
      </c>
      <c r="H96" s="83">
        <f>IF(LEFT(D96,4)*1&lt;LEFT('General inputs'!$I$16,4)*1,"",IF(LEFT(D96,4)*1&gt;LEFT('General inputs'!$I$16,4)+'General inputs'!$H$38-1,"",E96/(1+'General inputs'!$H$34)^C96))</f>
        <v>0</v>
      </c>
      <c r="I96" s="199"/>
      <c r="J96" s="113"/>
      <c r="K96" s="113"/>
      <c r="L96" s="83" t="str">
        <f>IF(LEFT(D96,4)*1&gt;LEFT('General inputs'!$I$18,4)*1,"",SUMIF('Post-1996 commissioned assets'!$F$22:$F$218,$D96,'Post-1996 commissioned assets'!$P$22:$P$218))</f>
        <v/>
      </c>
      <c r="M96" s="83" t="str">
        <f>IF(L96="","",L96/(1+'General inputs'!$H$32)^C96)</f>
        <v/>
      </c>
      <c r="N96" s="83">
        <f>IF(LEFT(D96,4)*1&lt;LEFT('General inputs'!$I$18,4)*1+1,"",SUMIF('Uncommissioned assets'!$F$22:$F$495,$D96,'Uncommissioned assets'!$P$22:$P$495))</f>
        <v>18801872.689177744</v>
      </c>
      <c r="O96" s="83">
        <f>IF(N96="","",N96/(1+'General inputs'!$H$32)^C96)</f>
        <v>5941621.4216198279</v>
      </c>
      <c r="P96" s="199"/>
      <c r="Q96" s="88">
        <f t="shared" si="3"/>
        <v>5380321.3679078398</v>
      </c>
      <c r="R96" s="83">
        <f>IF(OR(LEFT(D96,4)*1&lt;LEFT('General inputs'!$I$16,4)*1,LEFT(D96,4)*1&gt;LEFT('General inputs'!$I$16,4)+'General inputs'!$H$38-1),"",Q96/(1+'General inputs'!$H$34)^C96)</f>
        <v>1700247.2691542385</v>
      </c>
      <c r="S96" s="199"/>
      <c r="T96" s="39">
        <v>12188059.659759074</v>
      </c>
      <c r="U96" s="83">
        <f>IF(OR(LEFT(D96,4)*1&lt;LEFT('General inputs'!$I$16,4)*1,LEFT(D96,4)*1&gt;LEFT('General inputs'!$I$16,4)+'General inputs'!$H$38-1),"",T96/(1+'General inputs'!$H$34)^C96)</f>
        <v>3851575.7211826951</v>
      </c>
      <c r="V96" s="55"/>
      <c r="W96" s="199">
        <v>5380.3213679078399</v>
      </c>
    </row>
    <row r="97" spans="2:23">
      <c r="B97" s="54"/>
      <c r="C97" s="28">
        <f>IF(D97='General inputs'!$I$16,0,IF(D97&lt;'General inputs'!$I$16,C98-1,C96+1))</f>
        <v>29</v>
      </c>
      <c r="D97" s="28" t="str">
        <f t="shared" si="1"/>
        <v>2053-54</v>
      </c>
      <c r="E97" s="83">
        <f>IF(LEFT(D97,4)*1&gt;LEFT('General inputs'!$I$16,4)+'General inputs'!$H$38-1,"",'ET inputs'!D70)</f>
        <v>0</v>
      </c>
      <c r="F97" s="83">
        <f>IF(LEFT(D97,4)*1&gt;LEFT('General inputs'!$I$16,4)+'General inputs'!$H$38-1,"",E97/(1+'General inputs'!$H$30)^C97)</f>
        <v>0</v>
      </c>
      <c r="G97" s="83">
        <f>IF(LEFT(D97,4)*1&gt;LEFT('General inputs'!$I$16,4)+'General inputs'!$H$38-1,"",E97/(1+'General inputs'!$H$32)^C97)</f>
        <v>0</v>
      </c>
      <c r="H97" s="83">
        <f>IF(LEFT(D97,4)*1&lt;LEFT('General inputs'!$I$16,4)*1,"",IF(LEFT(D97,4)*1&gt;LEFT('General inputs'!$I$16,4)+'General inputs'!$H$38-1,"",E97/(1+'General inputs'!$H$34)^C97))</f>
        <v>0</v>
      </c>
      <c r="I97" s="199"/>
      <c r="J97" s="113"/>
      <c r="K97" s="113"/>
      <c r="L97" s="83" t="str">
        <f>IF(LEFT(D97,4)*1&gt;LEFT('General inputs'!$I$18,4)*1,"",SUMIF('Post-1996 commissioned assets'!$F$22:$F$218,$D97,'Post-1996 commissioned assets'!$P$22:$P$218))</f>
        <v/>
      </c>
      <c r="M97" s="83" t="str">
        <f>IF(L97="","",L97/(1+'General inputs'!$H$32)^C97)</f>
        <v/>
      </c>
      <c r="N97" s="83">
        <f>IF(LEFT(D97,4)*1&lt;LEFT('General inputs'!$I$18,4)*1+1,"",SUMIF('Uncommissioned assets'!$F$22:$F$495,$D97,'Uncommissioned assets'!$P$22:$P$495))</f>
        <v>20266583.005732834</v>
      </c>
      <c r="O97" s="83">
        <f>IF(N97="","",N97/(1+'General inputs'!$H$32)^C97)</f>
        <v>6146341.4319311678</v>
      </c>
      <c r="P97" s="199"/>
      <c r="Q97" s="88">
        <f t="shared" si="3"/>
        <v>5380321.3679078398</v>
      </c>
      <c r="R97" s="83">
        <f>IF(OR(LEFT(D97,4)*1&lt;LEFT('General inputs'!$I$16,4)*1,LEFT(D97,4)*1&gt;LEFT('General inputs'!$I$16,4)+'General inputs'!$H$38-1),"",Q97/(1+'General inputs'!$H$34)^C97)</f>
        <v>1631715.229514624</v>
      </c>
      <c r="S97" s="199"/>
      <c r="T97" s="39">
        <v>12382754.279984364</v>
      </c>
      <c r="U97" s="83">
        <f>IF(OR(LEFT(D97,4)*1&lt;LEFT('General inputs'!$I$16,4)*1,LEFT(D97,4)*1&gt;LEFT('General inputs'!$I$16,4)+'General inputs'!$H$38-1),"",T97/(1+'General inputs'!$H$34)^C97)</f>
        <v>3755375.8150035427</v>
      </c>
      <c r="V97" s="55"/>
      <c r="W97" s="199">
        <v>5380.3213679078399</v>
      </c>
    </row>
    <row r="98" spans="2:23">
      <c r="B98" s="54"/>
      <c r="C98" s="28">
        <f>IF(D98='General inputs'!$I$16,0,IF(D98&lt;'General inputs'!$I$16,C99-1,C97+1))</f>
        <v>30</v>
      </c>
      <c r="D98" s="28" t="str">
        <f t="shared" si="1"/>
        <v>2054-55</v>
      </c>
      <c r="E98" s="83" t="str">
        <f>IF(LEFT(D98,4)*1&gt;LEFT('General inputs'!$I$16,4)+'General inputs'!$H$38-1,"",'ET inputs'!D71)</f>
        <v/>
      </c>
      <c r="F98" s="83" t="str">
        <f>IF(LEFT(D98,4)*1&gt;LEFT('General inputs'!$I$16,4)+'General inputs'!$H$38-1,"",E98/(1+'General inputs'!$H$30)^C98)</f>
        <v/>
      </c>
      <c r="G98" s="83" t="str">
        <f>IF(LEFT(D98,4)*1&gt;LEFT('General inputs'!$I$16,4)+'General inputs'!$H$38-1,"",E98/(1+'General inputs'!$H$32)^C98)</f>
        <v/>
      </c>
      <c r="H98" s="83" t="str">
        <f>IF(LEFT(D98,4)*1&lt;LEFT('General inputs'!$I$16,4)*1,"",IF(LEFT(D98,4)*1&gt;LEFT('General inputs'!$I$16,4)+'General inputs'!$H$38-1,"",E98/(1+'General inputs'!$H$34)^C98))</f>
        <v/>
      </c>
      <c r="I98" s="199"/>
      <c r="J98" s="113"/>
      <c r="K98" s="113"/>
      <c r="L98" s="83" t="str">
        <f>IF(LEFT(D98,4)*1&gt;LEFT('General inputs'!$I$18,4)*1,"",SUMIF('Post-1996 commissioned assets'!$F$22:$F$218,$D98,'Post-1996 commissioned assets'!$P$22:$P$218))</f>
        <v/>
      </c>
      <c r="M98" s="83" t="str">
        <f>IF(L98="","",L98/(1+'General inputs'!$H$32)^C98)</f>
        <v/>
      </c>
      <c r="N98" s="83">
        <f>IF(LEFT(D98,4)*1&lt;LEFT('General inputs'!$I$18,4)*1+1,"",SUMIF('Uncommissioned assets'!$F$22:$F$495,$D98,'Uncommissioned assets'!$P$22:$P$495))</f>
        <v>0</v>
      </c>
      <c r="O98" s="83">
        <f>IF(N98="","",N98/(1+'General inputs'!$H$32)^C98)</f>
        <v>0</v>
      </c>
      <c r="P98" s="199"/>
      <c r="Q98" s="39"/>
      <c r="R98" s="83" t="str">
        <f>IF(OR(LEFT(D98,4)*1&lt;LEFT('General inputs'!$I$16,4)*1,LEFT(D98,4)*1&gt;LEFT('General inputs'!$I$16,4)+'General inputs'!$H$38-1),"",Q98/(1+'General inputs'!$H$34)^C98)</f>
        <v/>
      </c>
      <c r="S98" s="199"/>
      <c r="T98" s="39"/>
      <c r="U98" s="83" t="str">
        <f>IF(OR(LEFT(D98,4)*1&lt;LEFT('General inputs'!$I$16,4)*1,LEFT(D98,4)*1&gt;LEFT('General inputs'!$I$16,4)+'General inputs'!$H$38-1),"",T98/(1+'General inputs'!$H$34)^C98)</f>
        <v/>
      </c>
      <c r="V98" s="55"/>
      <c r="W98" s="199"/>
    </row>
    <row r="99" spans="2:23">
      <c r="B99" s="54"/>
      <c r="C99" s="28">
        <f>IF(D99='General inputs'!$I$16,0,IF(D99&lt;'General inputs'!$I$16,C100-1,C98+1))</f>
        <v>31</v>
      </c>
      <c r="D99" s="28" t="str">
        <f t="shared" si="1"/>
        <v>2055-56</v>
      </c>
      <c r="E99" s="83" t="str">
        <f>IF(LEFT(D99,4)*1&gt;LEFT('General inputs'!$I$16,4)+'General inputs'!$H$38-1,"",'ET inputs'!D72)</f>
        <v/>
      </c>
      <c r="F99" s="83" t="str">
        <f>IF(LEFT(D99,4)*1&gt;LEFT('General inputs'!$I$16,4)+'General inputs'!$H$38-1,"",E99/(1+'General inputs'!$H$30)^C99)</f>
        <v/>
      </c>
      <c r="G99" s="83" t="str">
        <f>IF(LEFT(D99,4)*1&gt;LEFT('General inputs'!$I$16,4)+'General inputs'!$H$38-1,"",E99/(1+'General inputs'!$H$32)^C99)</f>
        <v/>
      </c>
      <c r="H99" s="83" t="str">
        <f>IF(LEFT(D99,4)*1&lt;LEFT('General inputs'!$I$16,4)*1,"",IF(LEFT(D99,4)*1&gt;LEFT('General inputs'!$I$16,4)+'General inputs'!$H$38-1,"",E99/(1+'General inputs'!$H$34)^C99))</f>
        <v/>
      </c>
      <c r="I99" s="199"/>
      <c r="J99" s="113"/>
      <c r="K99" s="113"/>
      <c r="L99" s="83" t="str">
        <f>IF(LEFT(D99,4)*1&gt;LEFT('General inputs'!$I$18,4)*1,"",SUMIF('Post-1996 commissioned assets'!$F$22:$F$218,$D99,'Post-1996 commissioned assets'!$P$22:$P$218))</f>
        <v/>
      </c>
      <c r="M99" s="83" t="str">
        <f>IF(L99="","",L99/(1+'General inputs'!$H$32)^C99)</f>
        <v/>
      </c>
      <c r="N99" s="83">
        <f>IF(LEFT(D99,4)*1&lt;LEFT('General inputs'!$I$18,4)*1+1,"",SUMIF('Uncommissioned assets'!$F$22:$F$495,$D99,'Uncommissioned assets'!$P$22:$P$495))</f>
        <v>0</v>
      </c>
      <c r="O99" s="83">
        <f>IF(N99="","",N99/(1+'General inputs'!$H$32)^C99)</f>
        <v>0</v>
      </c>
      <c r="P99" s="199"/>
      <c r="Q99" s="39"/>
      <c r="R99" s="83" t="str">
        <f>IF(OR(LEFT(D99,4)*1&lt;LEFT('General inputs'!$I$16,4)*1,LEFT(D99,4)*1&gt;LEFT('General inputs'!$I$16,4)+'General inputs'!$H$38-1),"",Q99/(1+'General inputs'!$H$34)^C99)</f>
        <v/>
      </c>
      <c r="S99" s="199"/>
      <c r="T99" s="39"/>
      <c r="U99" s="83" t="str">
        <f>IF(OR(LEFT(D99,4)*1&lt;LEFT('General inputs'!$I$16,4)*1,LEFT(D99,4)*1&gt;LEFT('General inputs'!$I$16,4)+'General inputs'!$H$38-1),"",T99/(1+'General inputs'!$H$34)^C99)</f>
        <v/>
      </c>
      <c r="V99" s="55"/>
      <c r="W99" s="199"/>
    </row>
    <row r="100" spans="2:23">
      <c r="B100" s="54"/>
      <c r="C100" s="28">
        <f>IF(D100='General inputs'!$I$16,0,IF(D100&lt;'General inputs'!$I$16,C101-1,C99+1))</f>
        <v>32</v>
      </c>
      <c r="D100" s="28" t="str">
        <f t="shared" ref="D100:D122" si="4">LEFT(D99,4)+1&amp;"-"&amp;RIGHT(D99,2)+1</f>
        <v>2056-57</v>
      </c>
      <c r="E100" s="83" t="str">
        <f>IF(LEFT(D100,4)*1&gt;LEFT('General inputs'!$I$16,4)+'General inputs'!$H$38-1,"",'ET inputs'!D73)</f>
        <v/>
      </c>
      <c r="F100" s="83" t="str">
        <f>IF(LEFT(D100,4)*1&gt;LEFT('General inputs'!$I$16,4)+'General inputs'!$H$38-1,"",E100/(1+'General inputs'!$H$30)^C100)</f>
        <v/>
      </c>
      <c r="G100" s="83" t="str">
        <f>IF(LEFT(D100,4)*1&gt;LEFT('General inputs'!$I$16,4)+'General inputs'!$H$38-1,"",E100/(1+'General inputs'!$H$32)^C100)</f>
        <v/>
      </c>
      <c r="H100" s="83" t="str">
        <f>IF(LEFT(D100,4)*1&lt;LEFT('General inputs'!$I$16,4)*1,"",IF(LEFT(D100,4)*1&gt;LEFT('General inputs'!$I$16,4)+'General inputs'!$H$38-1,"",E100/(1+'General inputs'!$H$34)^C100))</f>
        <v/>
      </c>
      <c r="I100" s="199"/>
      <c r="J100" s="113"/>
      <c r="K100" s="113"/>
      <c r="L100" s="83" t="str">
        <f>IF(LEFT(D100,4)*1&gt;LEFT('General inputs'!$I$18,4)*1,"",SUMIF('Post-1996 commissioned assets'!$F$22:$F$218,$D100,'Post-1996 commissioned assets'!$P$22:$P$218))</f>
        <v/>
      </c>
      <c r="M100" s="83" t="str">
        <f>IF(L100="","",L100/(1+'General inputs'!$H$32)^C100)</f>
        <v/>
      </c>
      <c r="N100" s="83">
        <f>IF(LEFT(D100,4)*1&lt;LEFT('General inputs'!$I$18,4)*1+1,"",SUMIF('Uncommissioned assets'!$F$22:$F$495,$D100,'Uncommissioned assets'!$P$22:$P$495))</f>
        <v>0</v>
      </c>
      <c r="O100" s="83">
        <f>IF(N100="","",N100/(1+'General inputs'!$H$32)^C100)</f>
        <v>0</v>
      </c>
      <c r="P100" s="199"/>
      <c r="Q100" s="39"/>
      <c r="R100" s="83" t="str">
        <f>IF(OR(LEFT(D100,4)*1&lt;LEFT('General inputs'!$I$16,4)*1,LEFT(D100,4)*1&gt;LEFT('General inputs'!$I$16,4)+'General inputs'!$H$38-1),"",Q100/(1+'General inputs'!$H$34)^C100)</f>
        <v/>
      </c>
      <c r="S100" s="199"/>
      <c r="T100" s="39"/>
      <c r="U100" s="83" t="str">
        <f>IF(OR(LEFT(D100,4)*1&lt;LEFT('General inputs'!$I$16,4)*1,LEFT(D100,4)*1&gt;LEFT('General inputs'!$I$16,4)+'General inputs'!$H$38-1),"",T100/(1+'General inputs'!$H$34)^C100)</f>
        <v/>
      </c>
      <c r="V100" s="55"/>
      <c r="W100" s="199"/>
    </row>
    <row r="101" spans="2:23">
      <c r="B101" s="54"/>
      <c r="C101" s="28">
        <f>IF(D101='General inputs'!$I$16,0,IF(D101&lt;'General inputs'!$I$16,C102-1,C100+1))</f>
        <v>33</v>
      </c>
      <c r="D101" s="28" t="str">
        <f t="shared" si="4"/>
        <v>2057-58</v>
      </c>
      <c r="E101" s="83" t="str">
        <f>IF(LEFT(D101,4)*1&gt;LEFT('General inputs'!$I$16,4)+'General inputs'!$H$38-1,"",'ET inputs'!D74)</f>
        <v/>
      </c>
      <c r="F101" s="83" t="str">
        <f>IF(LEFT(D101,4)*1&gt;LEFT('General inputs'!$I$16,4)+'General inputs'!$H$38-1,"",E101/(1+'General inputs'!$H$30)^C101)</f>
        <v/>
      </c>
      <c r="G101" s="83" t="str">
        <f>IF(LEFT(D101,4)*1&gt;LEFT('General inputs'!$I$16,4)+'General inputs'!$H$38-1,"",E101/(1+'General inputs'!$H$32)^C101)</f>
        <v/>
      </c>
      <c r="H101" s="83" t="str">
        <f>IF(LEFT(D101,4)*1&lt;LEFT('General inputs'!$I$16,4)*1,"",IF(LEFT(D101,4)*1&gt;LEFT('General inputs'!$I$16,4)+'General inputs'!$H$38-1,"",E101/(1+'General inputs'!$H$34)^C101))</f>
        <v/>
      </c>
      <c r="I101" s="199"/>
      <c r="J101" s="113"/>
      <c r="K101" s="113"/>
      <c r="L101" s="83" t="str">
        <f>IF(LEFT(D101,4)*1&gt;LEFT('General inputs'!$I$18,4)*1,"",SUMIF('Post-1996 commissioned assets'!$F$22:$F$218,$D101,'Post-1996 commissioned assets'!$P$22:$P$218))</f>
        <v/>
      </c>
      <c r="M101" s="83" t="str">
        <f>IF(L101="","",L101/(1+'General inputs'!$H$32)^C101)</f>
        <v/>
      </c>
      <c r="N101" s="83">
        <f>IF(LEFT(D101,4)*1&lt;LEFT('General inputs'!$I$18,4)*1+1,"",SUMIF('Uncommissioned assets'!$F$22:$F$495,$D101,'Uncommissioned assets'!$P$22:$P$495))</f>
        <v>0</v>
      </c>
      <c r="O101" s="83">
        <f>IF(N101="","",N101/(1+'General inputs'!$H$32)^C101)</f>
        <v>0</v>
      </c>
      <c r="P101" s="199"/>
      <c r="Q101" s="39"/>
      <c r="R101" s="83" t="str">
        <f>IF(OR(LEFT(D101,4)*1&lt;LEFT('General inputs'!$I$16,4)*1,LEFT(D101,4)*1&gt;LEFT('General inputs'!$I$16,4)+'General inputs'!$H$38-1),"",Q101/(1+'General inputs'!$H$34)^C101)</f>
        <v/>
      </c>
      <c r="S101" s="199"/>
      <c r="T101" s="39"/>
      <c r="U101" s="83" t="str">
        <f>IF(OR(LEFT(D101,4)*1&lt;LEFT('General inputs'!$I$16,4)*1,LEFT(D101,4)*1&gt;LEFT('General inputs'!$I$16,4)+'General inputs'!$H$38-1),"",T101/(1+'General inputs'!$H$34)^C101)</f>
        <v/>
      </c>
      <c r="V101" s="55"/>
      <c r="W101" s="199"/>
    </row>
    <row r="102" spans="2:23">
      <c r="B102" s="54"/>
      <c r="C102" s="28">
        <f>IF(D102='General inputs'!$I$16,0,IF(D102&lt;'General inputs'!$I$16,C103-1,C101+1))</f>
        <v>34</v>
      </c>
      <c r="D102" s="28" t="str">
        <f t="shared" si="4"/>
        <v>2058-59</v>
      </c>
      <c r="E102" s="83" t="str">
        <f>IF(LEFT(D102,4)*1&gt;LEFT('General inputs'!$I$16,4)+'General inputs'!$H$38-1,"",'ET inputs'!D75)</f>
        <v/>
      </c>
      <c r="F102" s="83" t="str">
        <f>IF(LEFT(D102,4)*1&gt;LEFT('General inputs'!$I$16,4)+'General inputs'!$H$38-1,"",E102/(1+'General inputs'!$H$30)^C102)</f>
        <v/>
      </c>
      <c r="G102" s="83" t="str">
        <f>IF(LEFT(D102,4)*1&gt;LEFT('General inputs'!$I$16,4)+'General inputs'!$H$38-1,"",E102/(1+'General inputs'!$H$32)^C102)</f>
        <v/>
      </c>
      <c r="H102" s="83" t="str">
        <f>IF(LEFT(D102,4)*1&lt;LEFT('General inputs'!$I$16,4)*1,"",IF(LEFT(D102,4)*1&gt;LEFT('General inputs'!$I$16,4)+'General inputs'!$H$38-1,"",E102/(1+'General inputs'!$H$34)^C102))</f>
        <v/>
      </c>
      <c r="I102" s="199"/>
      <c r="J102" s="113"/>
      <c r="K102" s="113"/>
      <c r="L102" s="83" t="str">
        <f>IF(LEFT(D102,4)*1&gt;LEFT('General inputs'!$I$18,4)*1,"",SUMIF('Post-1996 commissioned assets'!$F$22:$F$218,$D102,'Post-1996 commissioned assets'!$P$22:$P$218))</f>
        <v/>
      </c>
      <c r="M102" s="83" t="str">
        <f>IF(L102="","",L102/(1+'General inputs'!$H$32)^C102)</f>
        <v/>
      </c>
      <c r="N102" s="83">
        <f>IF(LEFT(D102,4)*1&lt;LEFT('General inputs'!$I$18,4)*1+1,"",SUMIF('Uncommissioned assets'!$F$22:$F$495,$D102,'Uncommissioned assets'!$P$22:$P$495))</f>
        <v>0</v>
      </c>
      <c r="O102" s="83">
        <f>IF(N102="","",N102/(1+'General inputs'!$H$32)^C102)</f>
        <v>0</v>
      </c>
      <c r="P102" s="199"/>
      <c r="Q102" s="39"/>
      <c r="R102" s="83" t="str">
        <f>IF(OR(LEFT(D102,4)*1&lt;LEFT('General inputs'!$I$16,4)*1,LEFT(D102,4)*1&gt;LEFT('General inputs'!$I$16,4)+'General inputs'!$H$38-1),"",Q102/(1+'General inputs'!$H$34)^C102)</f>
        <v/>
      </c>
      <c r="S102" s="199"/>
      <c r="T102" s="39"/>
      <c r="U102" s="83" t="str">
        <f>IF(OR(LEFT(D102,4)*1&lt;LEFT('General inputs'!$I$16,4)*1,LEFT(D102,4)*1&gt;LEFT('General inputs'!$I$16,4)+'General inputs'!$H$38-1),"",T102/(1+'General inputs'!$H$34)^C102)</f>
        <v/>
      </c>
      <c r="V102" s="55"/>
      <c r="W102" s="199"/>
    </row>
    <row r="103" spans="2:23">
      <c r="B103" s="54"/>
      <c r="C103" s="28">
        <f>IF(D103='General inputs'!$I$16,0,IF(D103&lt;'General inputs'!$I$16,C104-1,C102+1))</f>
        <v>35</v>
      </c>
      <c r="D103" s="28" t="str">
        <f t="shared" si="4"/>
        <v>2059-60</v>
      </c>
      <c r="E103" s="83" t="str">
        <f>IF(LEFT(D103,4)*1&gt;LEFT('General inputs'!$I$16,4)+'General inputs'!$H$38-1,"",'ET inputs'!D76)</f>
        <v/>
      </c>
      <c r="F103" s="83" t="str">
        <f>IF(LEFT(D103,4)*1&gt;LEFT('General inputs'!$I$16,4)+'General inputs'!$H$38-1,"",E103/(1+'General inputs'!$H$30)^C103)</f>
        <v/>
      </c>
      <c r="G103" s="83" t="str">
        <f>IF(LEFT(D103,4)*1&gt;LEFT('General inputs'!$I$16,4)+'General inputs'!$H$38-1,"",E103/(1+'General inputs'!$H$32)^C103)</f>
        <v/>
      </c>
      <c r="H103" s="83" t="str">
        <f>IF(LEFT(D103,4)*1&lt;LEFT('General inputs'!$I$16,4)*1,"",IF(LEFT(D103,4)*1&gt;LEFT('General inputs'!$I$16,4)+'General inputs'!$H$38-1,"",E103/(1+'General inputs'!$H$34)^C103))</f>
        <v/>
      </c>
      <c r="I103" s="199"/>
      <c r="J103" s="113"/>
      <c r="K103" s="113"/>
      <c r="L103" s="83" t="str">
        <f>IF(LEFT(D103,4)*1&gt;LEFT('General inputs'!$I$18,4)*1,"",SUMIF('Post-1996 commissioned assets'!$F$22:$F$218,$D103,'Post-1996 commissioned assets'!$P$22:$P$218))</f>
        <v/>
      </c>
      <c r="M103" s="83" t="str">
        <f>IF(L103="","",L103/(1+'General inputs'!$H$32)^C103)</f>
        <v/>
      </c>
      <c r="N103" s="83">
        <f>IF(LEFT(D103,4)*1&lt;LEFT('General inputs'!$I$18,4)*1+1,"",SUMIF('Uncommissioned assets'!$F$22:$F$495,$D103,'Uncommissioned assets'!$P$22:$P$495))</f>
        <v>0</v>
      </c>
      <c r="O103" s="83">
        <f>IF(N103="","",N103/(1+'General inputs'!$H$32)^C103)</f>
        <v>0</v>
      </c>
      <c r="P103" s="199"/>
      <c r="Q103" s="39"/>
      <c r="R103" s="83" t="str">
        <f>IF(OR(LEFT(D103,4)*1&lt;LEFT('General inputs'!$I$16,4)*1,LEFT(D103,4)*1&gt;LEFT('General inputs'!$I$16,4)+'General inputs'!$H$38-1),"",Q103/(1+'General inputs'!$H$34)^C103)</f>
        <v/>
      </c>
      <c r="S103" s="199"/>
      <c r="T103" s="39"/>
      <c r="U103" s="83" t="str">
        <f>IF(OR(LEFT(D103,4)*1&lt;LEFT('General inputs'!$I$16,4)*1,LEFT(D103,4)*1&gt;LEFT('General inputs'!$I$16,4)+'General inputs'!$H$38-1),"",T103/(1+'General inputs'!$H$34)^C103)</f>
        <v/>
      </c>
      <c r="V103" s="55"/>
      <c r="W103" s="199"/>
    </row>
    <row r="104" spans="2:23">
      <c r="B104" s="54"/>
      <c r="C104" s="28">
        <f>IF(D104='General inputs'!$I$16,0,IF(D104&lt;'General inputs'!$I$16,C105-1,C103+1))</f>
        <v>36</v>
      </c>
      <c r="D104" s="28" t="str">
        <f t="shared" si="4"/>
        <v>2060-61</v>
      </c>
      <c r="E104" s="83" t="str">
        <f>IF(LEFT(D104,4)*1&gt;LEFT('General inputs'!$I$16,4)+'General inputs'!$H$38-1,"",'ET inputs'!D77)</f>
        <v/>
      </c>
      <c r="F104" s="83" t="str">
        <f>IF(LEFT(D104,4)*1&gt;LEFT('General inputs'!$I$16,4)+'General inputs'!$H$38-1,"",E104/(1+'General inputs'!$H$30)^C104)</f>
        <v/>
      </c>
      <c r="G104" s="83" t="str">
        <f>IF(LEFT(D104,4)*1&gt;LEFT('General inputs'!$I$16,4)+'General inputs'!$H$38-1,"",E104/(1+'General inputs'!$H$32)^C104)</f>
        <v/>
      </c>
      <c r="H104" s="83" t="str">
        <f>IF(LEFT(D104,4)*1&lt;LEFT('General inputs'!$I$16,4)*1,"",IF(LEFT(D104,4)*1&gt;LEFT('General inputs'!$I$16,4)+'General inputs'!$H$38-1,"",E104/(1+'General inputs'!$H$34)^C104))</f>
        <v/>
      </c>
      <c r="I104" s="199"/>
      <c r="J104" s="113"/>
      <c r="K104" s="113"/>
      <c r="L104" s="83" t="str">
        <f>IF(LEFT(D104,4)*1&gt;LEFT('General inputs'!$I$18,4)*1,"",SUMIF('Post-1996 commissioned assets'!$F$22:$F$218,$D104,'Post-1996 commissioned assets'!$P$22:$P$218))</f>
        <v/>
      </c>
      <c r="M104" s="83" t="str">
        <f>IF(L104="","",L104/(1+'General inputs'!$H$32)^C104)</f>
        <v/>
      </c>
      <c r="N104" s="83">
        <f>IF(LEFT(D104,4)*1&lt;LEFT('General inputs'!$I$18,4)*1+1,"",SUMIF('Uncommissioned assets'!$F$22:$F$495,$D104,'Uncommissioned assets'!$P$22:$P$495))</f>
        <v>0</v>
      </c>
      <c r="O104" s="83">
        <f>IF(N104="","",N104/(1+'General inputs'!$H$32)^C104)</f>
        <v>0</v>
      </c>
      <c r="P104" s="199"/>
      <c r="Q104" s="39"/>
      <c r="R104" s="83" t="str">
        <f>IF(OR(LEFT(D104,4)*1&lt;LEFT('General inputs'!$I$16,4)*1,LEFT(D104,4)*1&gt;LEFT('General inputs'!$I$16,4)+'General inputs'!$H$38-1),"",Q104/(1+'General inputs'!$H$34)^C104)</f>
        <v/>
      </c>
      <c r="S104" s="199"/>
      <c r="T104" s="39"/>
      <c r="U104" s="83" t="str">
        <f>IF(OR(LEFT(D104,4)*1&lt;LEFT('General inputs'!$I$16,4)*1,LEFT(D104,4)*1&gt;LEFT('General inputs'!$I$16,4)+'General inputs'!$H$38-1),"",T104/(1+'General inputs'!$H$34)^C104)</f>
        <v/>
      </c>
      <c r="V104" s="55"/>
      <c r="W104" s="199"/>
    </row>
    <row r="105" spans="2:23">
      <c r="B105" s="54"/>
      <c r="C105" s="28">
        <f>IF(D105='General inputs'!$I$16,0,IF(D105&lt;'General inputs'!$I$16,C106-1,C104+1))</f>
        <v>37</v>
      </c>
      <c r="D105" s="28" t="str">
        <f t="shared" si="4"/>
        <v>2061-62</v>
      </c>
      <c r="E105" s="83" t="str">
        <f>IF(LEFT(D105,4)*1&gt;LEFT('General inputs'!$I$16,4)+'General inputs'!$H$38-1,"",'ET inputs'!D78)</f>
        <v/>
      </c>
      <c r="F105" s="83" t="str">
        <f>IF(LEFT(D105,4)*1&gt;LEFT('General inputs'!$I$16,4)+'General inputs'!$H$38-1,"",E105/(1+'General inputs'!$H$30)^C105)</f>
        <v/>
      </c>
      <c r="G105" s="83" t="str">
        <f>IF(LEFT(D105,4)*1&gt;LEFT('General inputs'!$I$16,4)+'General inputs'!$H$38-1,"",E105/(1+'General inputs'!$H$32)^C105)</f>
        <v/>
      </c>
      <c r="H105" s="83" t="str">
        <f>IF(LEFT(D105,4)*1&lt;LEFT('General inputs'!$I$16,4)*1,"",IF(LEFT(D105,4)*1&gt;LEFT('General inputs'!$I$16,4)+'General inputs'!$H$38-1,"",E105/(1+'General inputs'!$H$34)^C105))</f>
        <v/>
      </c>
      <c r="I105" s="199"/>
      <c r="J105" s="113"/>
      <c r="K105" s="113"/>
      <c r="L105" s="83" t="str">
        <f>IF(LEFT(D105,4)*1&gt;LEFT('General inputs'!$I$18,4)*1,"",SUMIF('Post-1996 commissioned assets'!$F$22:$F$218,$D105,'Post-1996 commissioned assets'!$P$22:$P$218))</f>
        <v/>
      </c>
      <c r="M105" s="83" t="str">
        <f>IF(L105="","",L105/(1+'General inputs'!$H$32)^C105)</f>
        <v/>
      </c>
      <c r="N105" s="83">
        <f>IF(LEFT(D105,4)*1&lt;LEFT('General inputs'!$I$18,4)*1+1,"",SUMIF('Uncommissioned assets'!$F$22:$F$495,$D105,'Uncommissioned assets'!$P$22:$P$495))</f>
        <v>0</v>
      </c>
      <c r="O105" s="83">
        <f>IF(N105="","",N105/(1+'General inputs'!$H$32)^C105)</f>
        <v>0</v>
      </c>
      <c r="P105" s="199"/>
      <c r="Q105" s="39"/>
      <c r="R105" s="83" t="str">
        <f>IF(OR(LEFT(D105,4)*1&lt;LEFT('General inputs'!$I$16,4)*1,LEFT(D105,4)*1&gt;LEFT('General inputs'!$I$16,4)+'General inputs'!$H$38-1),"",Q105/(1+'General inputs'!$H$34)^C105)</f>
        <v/>
      </c>
      <c r="S105" s="199"/>
      <c r="T105" s="39"/>
      <c r="U105" s="83" t="str">
        <f>IF(OR(LEFT(D105,4)*1&lt;LEFT('General inputs'!$I$16,4)*1,LEFT(D105,4)*1&gt;LEFT('General inputs'!$I$16,4)+'General inputs'!$H$38-1),"",T105/(1+'General inputs'!$H$34)^C105)</f>
        <v/>
      </c>
      <c r="V105" s="55"/>
      <c r="W105" s="199"/>
    </row>
    <row r="106" spans="2:23">
      <c r="B106" s="54"/>
      <c r="C106" s="28">
        <f>IF(D106='General inputs'!$I$16,0,IF(D106&lt;'General inputs'!$I$16,C107-1,C105+1))</f>
        <v>38</v>
      </c>
      <c r="D106" s="28" t="str">
        <f t="shared" si="4"/>
        <v>2062-63</v>
      </c>
      <c r="E106" s="83" t="str">
        <f>IF(LEFT(D106,4)*1&gt;LEFT('General inputs'!$I$16,4)+'General inputs'!$H$38-1,"",'ET inputs'!D79)</f>
        <v/>
      </c>
      <c r="F106" s="83" t="str">
        <f>IF(LEFT(D106,4)*1&gt;LEFT('General inputs'!$I$16,4)+'General inputs'!$H$38-1,"",E106/(1+'General inputs'!$H$30)^C106)</f>
        <v/>
      </c>
      <c r="G106" s="83" t="str">
        <f>IF(LEFT(D106,4)*1&gt;LEFT('General inputs'!$I$16,4)+'General inputs'!$H$38-1,"",E106/(1+'General inputs'!$H$32)^C106)</f>
        <v/>
      </c>
      <c r="H106" s="83" t="str">
        <f>IF(LEFT(D106,4)*1&lt;LEFT('General inputs'!$I$16,4)*1,"",IF(LEFT(D106,4)*1&gt;LEFT('General inputs'!$I$16,4)+'General inputs'!$H$38-1,"",E106/(1+'General inputs'!$H$34)^C106))</f>
        <v/>
      </c>
      <c r="I106" s="199"/>
      <c r="J106" s="113"/>
      <c r="K106" s="113"/>
      <c r="L106" s="83" t="str">
        <f>IF(LEFT(D106,4)*1&gt;LEFT('General inputs'!$I$18,4)*1,"",SUMIF('Post-1996 commissioned assets'!$F$22:$F$218,$D106,'Post-1996 commissioned assets'!$P$22:$P$218))</f>
        <v/>
      </c>
      <c r="M106" s="83" t="str">
        <f>IF(L106="","",L106/(1+'General inputs'!$H$32)^C106)</f>
        <v/>
      </c>
      <c r="N106" s="83">
        <f>IF(LEFT(D106,4)*1&lt;LEFT('General inputs'!$I$18,4)*1+1,"",SUMIF('Uncommissioned assets'!$F$22:$F$495,$D106,'Uncommissioned assets'!$P$22:$P$495))</f>
        <v>0</v>
      </c>
      <c r="O106" s="83">
        <f>IF(N106="","",N106/(1+'General inputs'!$H$32)^C106)</f>
        <v>0</v>
      </c>
      <c r="P106" s="199"/>
      <c r="Q106" s="39"/>
      <c r="R106" s="83" t="str">
        <f>IF(OR(LEFT(D106,4)*1&lt;LEFT('General inputs'!$I$16,4)*1,LEFT(D106,4)*1&gt;LEFT('General inputs'!$I$16,4)+'General inputs'!$H$38-1),"",Q106/(1+'General inputs'!$H$34)^C106)</f>
        <v/>
      </c>
      <c r="S106" s="199"/>
      <c r="T106" s="39"/>
      <c r="U106" s="83" t="str">
        <f>IF(OR(LEFT(D106,4)*1&lt;LEFT('General inputs'!$I$16,4)*1,LEFT(D106,4)*1&gt;LEFT('General inputs'!$I$16,4)+'General inputs'!$H$38-1),"",T106/(1+'General inputs'!$H$34)^C106)</f>
        <v/>
      </c>
      <c r="V106" s="55"/>
      <c r="W106" s="199"/>
    </row>
    <row r="107" spans="2:23">
      <c r="B107" s="54"/>
      <c r="C107" s="28">
        <f>IF(D107='General inputs'!$I$16,0,IF(D107&lt;'General inputs'!$I$16,C108-1,C106+1))</f>
        <v>39</v>
      </c>
      <c r="D107" s="28" t="str">
        <f t="shared" si="4"/>
        <v>2063-64</v>
      </c>
      <c r="E107" s="83" t="str">
        <f>IF(LEFT(D107,4)*1&gt;LEFT('General inputs'!$I$16,4)+'General inputs'!$H$38-1,"",'ET inputs'!D80)</f>
        <v/>
      </c>
      <c r="F107" s="83" t="str">
        <f>IF(LEFT(D107,4)*1&gt;LEFT('General inputs'!$I$16,4)+'General inputs'!$H$38-1,"",E107/(1+'General inputs'!$H$30)^C107)</f>
        <v/>
      </c>
      <c r="G107" s="83" t="str">
        <f>IF(LEFT(D107,4)*1&gt;LEFT('General inputs'!$I$16,4)+'General inputs'!$H$38-1,"",E107/(1+'General inputs'!$H$32)^C107)</f>
        <v/>
      </c>
      <c r="H107" s="83" t="str">
        <f>IF(LEFT(D107,4)*1&lt;LEFT('General inputs'!$I$16,4)*1,"",IF(LEFT(D107,4)*1&gt;LEFT('General inputs'!$I$16,4)+'General inputs'!$H$38-1,"",E107/(1+'General inputs'!$H$34)^C107))</f>
        <v/>
      </c>
      <c r="I107" s="199"/>
      <c r="J107" s="113"/>
      <c r="K107" s="113"/>
      <c r="L107" s="83" t="str">
        <f>IF(LEFT(D107,4)*1&gt;LEFT('General inputs'!$I$18,4)*1,"",SUMIF('Post-1996 commissioned assets'!$F$22:$F$218,$D107,'Post-1996 commissioned assets'!$P$22:$P$218))</f>
        <v/>
      </c>
      <c r="M107" s="83" t="str">
        <f>IF(L107="","",L107/(1+'General inputs'!$H$32)^C107)</f>
        <v/>
      </c>
      <c r="N107" s="83">
        <f>IF(LEFT(D107,4)*1&lt;LEFT('General inputs'!$I$18,4)*1+1,"",SUMIF('Uncommissioned assets'!$F$22:$F$495,$D107,'Uncommissioned assets'!$P$22:$P$495))</f>
        <v>0</v>
      </c>
      <c r="O107" s="83">
        <f>IF(N107="","",N107/(1+'General inputs'!$H$32)^C107)</f>
        <v>0</v>
      </c>
      <c r="P107" s="199"/>
      <c r="Q107" s="39"/>
      <c r="R107" s="83" t="str">
        <f>IF(OR(LEFT(D107,4)*1&lt;LEFT('General inputs'!$I$16,4)*1,LEFT(D107,4)*1&gt;LEFT('General inputs'!$I$16,4)+'General inputs'!$H$38-1),"",Q107/(1+'General inputs'!$H$34)^C107)</f>
        <v/>
      </c>
      <c r="S107" s="199"/>
      <c r="T107" s="39"/>
      <c r="U107" s="83" t="str">
        <f>IF(OR(LEFT(D107,4)*1&lt;LEFT('General inputs'!$I$16,4)*1,LEFT(D107,4)*1&gt;LEFT('General inputs'!$I$16,4)+'General inputs'!$H$38-1),"",T107/(1+'General inputs'!$H$34)^C107)</f>
        <v/>
      </c>
      <c r="V107" s="55"/>
      <c r="W107" s="199"/>
    </row>
    <row r="108" spans="2:23">
      <c r="B108" s="54"/>
      <c r="C108" s="28">
        <f>IF(D108='General inputs'!$I$16,0,IF(D108&lt;'General inputs'!$I$16,C109-1,C107+1))</f>
        <v>40</v>
      </c>
      <c r="D108" s="28" t="str">
        <f t="shared" si="4"/>
        <v>2064-65</v>
      </c>
      <c r="E108" s="83" t="str">
        <f>IF(LEFT(D108,4)*1&gt;LEFT('General inputs'!$I$16,4)+'General inputs'!$H$38-1,"",'ET inputs'!D81)</f>
        <v/>
      </c>
      <c r="F108" s="83" t="str">
        <f>IF(LEFT(D108,4)*1&gt;LEFT('General inputs'!$I$16,4)+'General inputs'!$H$38-1,"",E108/(1+'General inputs'!$H$30)^C108)</f>
        <v/>
      </c>
      <c r="G108" s="83" t="str">
        <f>IF(LEFT(D108,4)*1&gt;LEFT('General inputs'!$I$16,4)+'General inputs'!$H$38-1,"",E108/(1+'General inputs'!$H$32)^C108)</f>
        <v/>
      </c>
      <c r="H108" s="83" t="str">
        <f>IF(LEFT(D108,4)*1&lt;LEFT('General inputs'!$I$16,4)*1,"",IF(LEFT(D108,4)*1&gt;LEFT('General inputs'!$I$16,4)+'General inputs'!$H$38-1,"",E108/(1+'General inputs'!$H$34)^C108))</f>
        <v/>
      </c>
      <c r="I108" s="199"/>
      <c r="J108" s="113"/>
      <c r="K108" s="113"/>
      <c r="L108" s="83" t="str">
        <f>IF(LEFT(D108,4)*1&gt;LEFT('General inputs'!$I$18,4)*1,"",SUMIF('Post-1996 commissioned assets'!$F$22:$F$218,$D108,'Post-1996 commissioned assets'!$P$22:$P$218))</f>
        <v/>
      </c>
      <c r="M108" s="83" t="str">
        <f>IF(L108="","",L108/(1+'General inputs'!$H$32)^C108)</f>
        <v/>
      </c>
      <c r="N108" s="83">
        <f>IF(LEFT(D108,4)*1&lt;LEFT('General inputs'!$I$18,4)*1+1,"",SUMIF('Uncommissioned assets'!$F$22:$F$495,$D108,'Uncommissioned assets'!$P$22:$P$495))</f>
        <v>0</v>
      </c>
      <c r="O108" s="83">
        <f>IF(N108="","",N108/(1+'General inputs'!$H$32)^C108)</f>
        <v>0</v>
      </c>
      <c r="P108" s="199"/>
      <c r="Q108" s="39"/>
      <c r="R108" s="83" t="str">
        <f>IF(OR(LEFT(D108,4)*1&lt;LEFT('General inputs'!$I$16,4)*1,LEFT(D108,4)*1&gt;LEFT('General inputs'!$I$16,4)+'General inputs'!$H$38-1),"",Q108/(1+'General inputs'!$H$34)^C108)</f>
        <v/>
      </c>
      <c r="S108" s="199"/>
      <c r="T108" s="39"/>
      <c r="U108" s="83" t="str">
        <f>IF(OR(LEFT(D108,4)*1&lt;LEFT('General inputs'!$I$16,4)*1,LEFT(D108,4)*1&gt;LEFT('General inputs'!$I$16,4)+'General inputs'!$H$38-1),"",T108/(1+'General inputs'!$H$34)^C108)</f>
        <v/>
      </c>
      <c r="V108" s="55"/>
      <c r="W108" s="199"/>
    </row>
    <row r="109" spans="2:23">
      <c r="B109" s="54"/>
      <c r="C109" s="28">
        <f>IF(D109='General inputs'!$I$16,0,IF(D109&lt;'General inputs'!$I$16,C110-1,C108+1))</f>
        <v>41</v>
      </c>
      <c r="D109" s="28" t="str">
        <f t="shared" si="4"/>
        <v>2065-66</v>
      </c>
      <c r="E109" s="83" t="str">
        <f>IF(LEFT(D109,4)*1&gt;LEFT('General inputs'!$I$16,4)+'General inputs'!$H$38-1,"",'ET inputs'!D82)</f>
        <v/>
      </c>
      <c r="F109" s="83" t="str">
        <f>IF(LEFT(D109,4)*1&gt;LEFT('General inputs'!$I$16,4)+'General inputs'!$H$38-1,"",E109/(1+'General inputs'!$H$30)^C109)</f>
        <v/>
      </c>
      <c r="G109" s="83" t="str">
        <f>IF(LEFT(D109,4)*1&gt;LEFT('General inputs'!$I$16,4)+'General inputs'!$H$38-1,"",E109/(1+'General inputs'!$H$32)^C109)</f>
        <v/>
      </c>
      <c r="H109" s="83" t="str">
        <f>IF(LEFT(D109,4)*1&lt;LEFT('General inputs'!$I$16,4)*1,"",IF(LEFT(D109,4)*1&gt;LEFT('General inputs'!$I$16,4)+'General inputs'!$H$38-1,"",E109/(1+'General inputs'!$H$34)^C109))</f>
        <v/>
      </c>
      <c r="I109" s="199"/>
      <c r="J109" s="113"/>
      <c r="K109" s="113"/>
      <c r="L109" s="83" t="str">
        <f>IF(LEFT(D109,4)*1&gt;LEFT('General inputs'!$I$18,4)*1,"",SUMIF('Post-1996 commissioned assets'!$F$22:$F$218,$D109,'Post-1996 commissioned assets'!$P$22:$P$218))</f>
        <v/>
      </c>
      <c r="M109" s="83" t="str">
        <f>IF(L109="","",L109/(1+'General inputs'!$H$32)^C109)</f>
        <v/>
      </c>
      <c r="N109" s="83">
        <f>IF(LEFT(D109,4)*1&lt;LEFT('General inputs'!$I$18,4)*1+1,"",SUMIF('Uncommissioned assets'!$F$22:$F$495,$D109,'Uncommissioned assets'!$P$22:$P$495))</f>
        <v>0</v>
      </c>
      <c r="O109" s="83">
        <f>IF(N109="","",N109/(1+'General inputs'!$H$32)^C109)</f>
        <v>0</v>
      </c>
      <c r="P109" s="199"/>
      <c r="Q109" s="39"/>
      <c r="R109" s="83" t="str">
        <f>IF(OR(LEFT(D109,4)*1&lt;LEFT('General inputs'!$I$16,4)*1,LEFT(D109,4)*1&gt;LEFT('General inputs'!$I$16,4)+'General inputs'!$H$38-1),"",Q109/(1+'General inputs'!$H$34)^C109)</f>
        <v/>
      </c>
      <c r="S109" s="199"/>
      <c r="T109" s="39"/>
      <c r="U109" s="83" t="str">
        <f>IF(OR(LEFT(D109,4)*1&lt;LEFT('General inputs'!$I$16,4)*1,LEFT(D109,4)*1&gt;LEFT('General inputs'!$I$16,4)+'General inputs'!$H$38-1),"",T109/(1+'General inputs'!$H$34)^C109)</f>
        <v/>
      </c>
      <c r="V109" s="55"/>
      <c r="W109" s="199"/>
    </row>
    <row r="110" spans="2:23">
      <c r="B110" s="54"/>
      <c r="C110" s="28">
        <f>IF(D110='General inputs'!$I$16,0,IF(D110&lt;'General inputs'!$I$16,C111-1,C109+1))</f>
        <v>42</v>
      </c>
      <c r="D110" s="28" t="str">
        <f t="shared" si="4"/>
        <v>2066-67</v>
      </c>
      <c r="E110" s="83" t="str">
        <f>IF(LEFT(D110,4)*1&gt;LEFT('General inputs'!$I$16,4)+'General inputs'!$H$38-1,"",'ET inputs'!D83)</f>
        <v/>
      </c>
      <c r="F110" s="83" t="str">
        <f>IF(LEFT(D110,4)*1&gt;LEFT('General inputs'!$I$16,4)+'General inputs'!$H$38-1,"",E110/(1+'General inputs'!$H$30)^C110)</f>
        <v/>
      </c>
      <c r="G110" s="83" t="str">
        <f>IF(LEFT(D110,4)*1&gt;LEFT('General inputs'!$I$16,4)+'General inputs'!$H$38-1,"",E110/(1+'General inputs'!$H$32)^C110)</f>
        <v/>
      </c>
      <c r="H110" s="83" t="str">
        <f>IF(LEFT(D110,4)*1&lt;LEFT('General inputs'!$I$16,4)*1,"",IF(LEFT(D110,4)*1&gt;LEFT('General inputs'!$I$16,4)+'General inputs'!$H$38-1,"",E110/(1+'General inputs'!$H$34)^C110))</f>
        <v/>
      </c>
      <c r="I110" s="199"/>
      <c r="J110" s="113"/>
      <c r="K110" s="113"/>
      <c r="L110" s="83" t="str">
        <f>IF(LEFT(D110,4)*1&gt;LEFT('General inputs'!$I$18,4)*1,"",SUMIF('Post-1996 commissioned assets'!$F$22:$F$218,$D110,'Post-1996 commissioned assets'!$P$22:$P$218))</f>
        <v/>
      </c>
      <c r="M110" s="83" t="str">
        <f>IF(L110="","",L110/(1+'General inputs'!$H$32)^C110)</f>
        <v/>
      </c>
      <c r="N110" s="83">
        <f>IF(LEFT(D110,4)*1&lt;LEFT('General inputs'!$I$18,4)*1+1,"",SUMIF('Uncommissioned assets'!$F$22:$F$495,$D110,'Uncommissioned assets'!$P$22:$P$495))</f>
        <v>0</v>
      </c>
      <c r="O110" s="83">
        <f>IF(N110="","",N110/(1+'General inputs'!$H$32)^C110)</f>
        <v>0</v>
      </c>
      <c r="P110" s="199"/>
      <c r="Q110" s="39"/>
      <c r="R110" s="83" t="str">
        <f>IF(OR(LEFT(D110,4)*1&lt;LEFT('General inputs'!$I$16,4)*1,LEFT(D110,4)*1&gt;LEFT('General inputs'!$I$16,4)+'General inputs'!$H$38-1),"",Q110/(1+'General inputs'!$H$34)^C110)</f>
        <v/>
      </c>
      <c r="S110" s="199"/>
      <c r="T110" s="39"/>
      <c r="U110" s="83" t="str">
        <f>IF(OR(LEFT(D110,4)*1&lt;LEFT('General inputs'!$I$16,4)*1,LEFT(D110,4)*1&gt;LEFT('General inputs'!$I$16,4)+'General inputs'!$H$38-1),"",T110/(1+'General inputs'!$H$34)^C110)</f>
        <v/>
      </c>
      <c r="V110" s="55"/>
      <c r="W110" s="199"/>
    </row>
    <row r="111" spans="2:23">
      <c r="B111" s="54"/>
      <c r="C111" s="28">
        <f>IF(D111='General inputs'!$I$16,0,IF(D111&lt;'General inputs'!$I$16,C112-1,C110+1))</f>
        <v>43</v>
      </c>
      <c r="D111" s="28" t="str">
        <f t="shared" si="4"/>
        <v>2067-68</v>
      </c>
      <c r="E111" s="83" t="str">
        <f>IF(LEFT(D111,4)*1&gt;LEFT('General inputs'!$I$16,4)+'General inputs'!$H$38-1,"",'ET inputs'!D84)</f>
        <v/>
      </c>
      <c r="F111" s="83" t="str">
        <f>IF(LEFT(D111,4)*1&gt;LEFT('General inputs'!$I$16,4)+'General inputs'!$H$38-1,"",E111/(1+'General inputs'!$H$30)^C111)</f>
        <v/>
      </c>
      <c r="G111" s="83" t="str">
        <f>IF(LEFT(D111,4)*1&gt;LEFT('General inputs'!$I$16,4)+'General inputs'!$H$38-1,"",E111/(1+'General inputs'!$H$32)^C111)</f>
        <v/>
      </c>
      <c r="H111" s="83" t="str">
        <f>IF(LEFT(D111,4)*1&lt;LEFT('General inputs'!$I$16,4)*1,"",IF(LEFT(D111,4)*1&gt;LEFT('General inputs'!$I$16,4)+'General inputs'!$H$38-1,"",E111/(1+'General inputs'!$H$34)^C111))</f>
        <v/>
      </c>
      <c r="I111" s="199"/>
      <c r="J111" s="113"/>
      <c r="K111" s="113"/>
      <c r="L111" s="83" t="str">
        <f>IF(LEFT(D111,4)*1&gt;LEFT('General inputs'!$I$18,4)*1,"",SUMIF('Post-1996 commissioned assets'!$F$22:$F$218,$D111,'Post-1996 commissioned assets'!$P$22:$P$218))</f>
        <v/>
      </c>
      <c r="M111" s="83" t="str">
        <f>IF(L111="","",L111/(1+'General inputs'!$H$32)^C111)</f>
        <v/>
      </c>
      <c r="N111" s="83">
        <f>IF(LEFT(D111,4)*1&lt;LEFT('General inputs'!$I$18,4)*1+1,"",SUMIF('Uncommissioned assets'!$F$22:$F$495,$D111,'Uncommissioned assets'!$P$22:$P$495))</f>
        <v>0</v>
      </c>
      <c r="O111" s="83">
        <f>IF(N111="","",N111/(1+'General inputs'!$H$32)^C111)</f>
        <v>0</v>
      </c>
      <c r="P111" s="199"/>
      <c r="Q111" s="39"/>
      <c r="R111" s="83" t="str">
        <f>IF(OR(LEFT(D111,4)*1&lt;LEFT('General inputs'!$I$16,4)*1,LEFT(D111,4)*1&gt;LEFT('General inputs'!$I$16,4)+'General inputs'!$H$38-1),"",Q111/(1+'General inputs'!$H$34)^C111)</f>
        <v/>
      </c>
      <c r="S111" s="199"/>
      <c r="T111" s="39"/>
      <c r="U111" s="83" t="str">
        <f>IF(OR(LEFT(D111,4)*1&lt;LEFT('General inputs'!$I$16,4)*1,LEFT(D111,4)*1&gt;LEFT('General inputs'!$I$16,4)+'General inputs'!$H$38-1),"",T111/(1+'General inputs'!$H$34)^C111)</f>
        <v/>
      </c>
      <c r="V111" s="55"/>
      <c r="W111" s="199"/>
    </row>
    <row r="112" spans="2:23">
      <c r="B112" s="54"/>
      <c r="C112" s="28">
        <f>IF(D112='General inputs'!$I$16,0,IF(D112&lt;'General inputs'!$I$16,C113-1,C111+1))</f>
        <v>44</v>
      </c>
      <c r="D112" s="28" t="str">
        <f t="shared" si="4"/>
        <v>2068-69</v>
      </c>
      <c r="E112" s="83" t="str">
        <f>IF(LEFT(D112,4)*1&gt;LEFT('General inputs'!$I$16,4)+'General inputs'!$H$38-1,"",'ET inputs'!D85)</f>
        <v/>
      </c>
      <c r="F112" s="83" t="str">
        <f>IF(LEFT(D112,4)*1&gt;LEFT('General inputs'!$I$16,4)+'General inputs'!$H$38-1,"",E112/(1+'General inputs'!$H$30)^C112)</f>
        <v/>
      </c>
      <c r="G112" s="83" t="str">
        <f>IF(LEFT(D112,4)*1&gt;LEFT('General inputs'!$I$16,4)+'General inputs'!$H$38-1,"",E112/(1+'General inputs'!$H$32)^C112)</f>
        <v/>
      </c>
      <c r="H112" s="83" t="str">
        <f>IF(LEFT(D112,4)*1&lt;LEFT('General inputs'!$I$16,4)*1,"",IF(LEFT(D112,4)*1&gt;LEFT('General inputs'!$I$16,4)+'General inputs'!$H$38-1,"",E112/(1+'General inputs'!$H$34)^C112))</f>
        <v/>
      </c>
      <c r="I112" s="199"/>
      <c r="J112" s="113"/>
      <c r="K112" s="113"/>
      <c r="L112" s="83" t="str">
        <f>IF(LEFT(D112,4)*1&gt;LEFT('General inputs'!$I$18,4)*1,"",SUMIF('Post-1996 commissioned assets'!$F$22:$F$218,$D112,'Post-1996 commissioned assets'!$P$22:$P$218))</f>
        <v/>
      </c>
      <c r="M112" s="83" t="str">
        <f>IF(L112="","",L112/(1+'General inputs'!$H$32)^C112)</f>
        <v/>
      </c>
      <c r="N112" s="83">
        <f>IF(LEFT(D112,4)*1&lt;LEFT('General inputs'!$I$18,4)*1+1,"",SUMIF('Uncommissioned assets'!$F$22:$F$495,$D112,'Uncommissioned assets'!$P$22:$P$495))</f>
        <v>0</v>
      </c>
      <c r="O112" s="83">
        <f>IF(N112="","",N112/(1+'General inputs'!$H$32)^C112)</f>
        <v>0</v>
      </c>
      <c r="P112" s="199"/>
      <c r="Q112" s="39"/>
      <c r="R112" s="83" t="str">
        <f>IF(OR(LEFT(D112,4)*1&lt;LEFT('General inputs'!$I$16,4)*1,LEFT(D112,4)*1&gt;LEFT('General inputs'!$I$16,4)+'General inputs'!$H$38-1),"",Q112/(1+'General inputs'!$H$34)^C112)</f>
        <v/>
      </c>
      <c r="S112" s="199"/>
      <c r="T112" s="39"/>
      <c r="U112" s="83" t="str">
        <f>IF(OR(LEFT(D112,4)*1&lt;LEFT('General inputs'!$I$16,4)*1,LEFT(D112,4)*1&gt;LEFT('General inputs'!$I$16,4)+'General inputs'!$H$38-1),"",T112/(1+'General inputs'!$H$34)^C112)</f>
        <v/>
      </c>
      <c r="V112" s="55"/>
      <c r="W112" s="199"/>
    </row>
    <row r="113" spans="2:22">
      <c r="B113" s="54"/>
      <c r="C113" s="28">
        <f>IF(D113='General inputs'!$I$16,0,IF(D113&lt;'General inputs'!$I$16,C114-1,C112+1))</f>
        <v>45</v>
      </c>
      <c r="D113" s="28" t="str">
        <f t="shared" si="4"/>
        <v>2069-70</v>
      </c>
      <c r="E113" s="83" t="str">
        <f>IF(LEFT(D113,4)*1&gt;LEFT('General inputs'!$I$16,4)+'General inputs'!$H$38-1,"",'ET inputs'!D86)</f>
        <v/>
      </c>
      <c r="F113" s="83" t="str">
        <f>IF(LEFT(D113,4)*1&gt;LEFT('General inputs'!$I$16,4)+'General inputs'!$H$38-1,"",E113/(1+'General inputs'!$H$30)^C113)</f>
        <v/>
      </c>
      <c r="G113" s="83" t="str">
        <f>IF(LEFT(D113,4)*1&gt;LEFT('General inputs'!$I$16,4)+'General inputs'!$H$38-1,"",E113/(1+'General inputs'!$H$32)^C113)</f>
        <v/>
      </c>
      <c r="H113" s="83" t="str">
        <f>IF(LEFT(D113,4)*1&lt;LEFT('General inputs'!$I$16,4)*1,"",IF(LEFT(D113,4)*1&gt;LEFT('General inputs'!$I$16,4)+'General inputs'!$H$38-1,"",E113/(1+'General inputs'!$H$34)^C113))</f>
        <v/>
      </c>
      <c r="I113" s="199"/>
      <c r="J113" s="113"/>
      <c r="K113" s="113"/>
      <c r="L113" s="83" t="str">
        <f>IF(LEFT(D113,4)*1&gt;LEFT('General inputs'!$I$18,4)*1,"",SUMIF('Post-1996 commissioned assets'!$F$22:$F$218,$D113,'Post-1996 commissioned assets'!$P$22:$P$218))</f>
        <v/>
      </c>
      <c r="M113" s="83" t="str">
        <f>IF(L113="","",L113/(1+'General inputs'!$H$32)^C113)</f>
        <v/>
      </c>
      <c r="N113" s="83">
        <f>IF(LEFT(D113,4)*1&lt;LEFT('General inputs'!$I$18,4)*1+1,"",SUMIF('Uncommissioned assets'!$F$22:$F$495,$D113,'Uncommissioned assets'!$P$22:$P$495))</f>
        <v>0</v>
      </c>
      <c r="O113" s="83">
        <f>IF(N113="","",N113/(1+'General inputs'!$H$32)^C113)</f>
        <v>0</v>
      </c>
      <c r="P113" s="199"/>
      <c r="Q113" s="39"/>
      <c r="R113" s="83" t="str">
        <f>IF(OR(LEFT(D113,4)*1&lt;LEFT('General inputs'!$I$16,4)*1,LEFT(D113,4)*1&gt;LEFT('General inputs'!$I$16,4)+'General inputs'!$H$38-1),"",Q113/(1+'General inputs'!$H$34)^C113)</f>
        <v/>
      </c>
      <c r="S113" s="199"/>
      <c r="T113" s="39"/>
      <c r="U113" s="83" t="str">
        <f>IF(OR(LEFT(D113,4)*1&lt;LEFT('General inputs'!$I$16,4)*1,LEFT(D113,4)*1&gt;LEFT('General inputs'!$I$16,4)+'General inputs'!$H$38-1),"",T113/(1+'General inputs'!$H$34)^C113)</f>
        <v/>
      </c>
      <c r="V113" s="55"/>
    </row>
    <row r="114" spans="2:22">
      <c r="B114" s="54"/>
      <c r="C114" s="28">
        <f>IF(D114='General inputs'!$I$16,0,IF(D114&lt;'General inputs'!$I$16,C115-1,C113+1))</f>
        <v>46</v>
      </c>
      <c r="D114" s="28" t="str">
        <f t="shared" si="4"/>
        <v>2070-71</v>
      </c>
      <c r="E114" s="83" t="str">
        <f>IF(LEFT(D114,4)*1&gt;LEFT('General inputs'!$I$16,4)+'General inputs'!$H$38-1,"",'ET inputs'!D87)</f>
        <v/>
      </c>
      <c r="F114" s="83" t="str">
        <f>IF(LEFT(D114,4)*1&gt;LEFT('General inputs'!$I$16,4)+'General inputs'!$H$38-1,"",E114/(1+'General inputs'!$H$30)^C114)</f>
        <v/>
      </c>
      <c r="G114" s="83" t="str">
        <f>IF(LEFT(D114,4)*1&gt;LEFT('General inputs'!$I$16,4)+'General inputs'!$H$38-1,"",E114/(1+'General inputs'!$H$32)^C114)</f>
        <v/>
      </c>
      <c r="H114" s="83" t="str">
        <f>IF(LEFT(D114,4)*1&lt;LEFT('General inputs'!$I$16,4)*1,"",IF(LEFT(D114,4)*1&gt;LEFT('General inputs'!$I$16,4)+'General inputs'!$H$38-1,"",E114/(1+'General inputs'!$H$34)^C114))</f>
        <v/>
      </c>
      <c r="I114" s="199"/>
      <c r="J114" s="113"/>
      <c r="K114" s="113"/>
      <c r="L114" s="83" t="str">
        <f>IF(LEFT(D114,4)*1&gt;LEFT('General inputs'!$I$18,4)*1,"",SUMIF('Post-1996 commissioned assets'!$F$22:$F$218,$D114,'Post-1996 commissioned assets'!$P$22:$P$218))</f>
        <v/>
      </c>
      <c r="M114" s="83" t="str">
        <f>IF(L114="","",L114/(1+'General inputs'!$H$32)^C114)</f>
        <v/>
      </c>
      <c r="N114" s="83">
        <f>IF(LEFT(D114,4)*1&lt;LEFT('General inputs'!$I$18,4)*1+1,"",SUMIF('Uncommissioned assets'!$F$22:$F$495,$D114,'Uncommissioned assets'!$P$22:$P$495))</f>
        <v>0</v>
      </c>
      <c r="O114" s="83">
        <f>IF(N114="","",N114/(1+'General inputs'!$H$32)^C114)</f>
        <v>0</v>
      </c>
      <c r="P114" s="199"/>
      <c r="Q114" s="39"/>
      <c r="R114" s="83" t="str">
        <f>IF(OR(LEFT(D114,4)*1&lt;LEFT('General inputs'!$I$16,4)*1,LEFT(D114,4)*1&gt;LEFT('General inputs'!$I$16,4)+'General inputs'!$H$38-1),"",Q114/(1+'General inputs'!$H$34)^C114)</f>
        <v/>
      </c>
      <c r="S114" s="199"/>
      <c r="T114" s="39"/>
      <c r="U114" s="83" t="str">
        <f>IF(OR(LEFT(D114,4)*1&lt;LEFT('General inputs'!$I$16,4)*1,LEFT(D114,4)*1&gt;LEFT('General inputs'!$I$16,4)+'General inputs'!$H$38-1),"",T114/(1+'General inputs'!$H$34)^C114)</f>
        <v/>
      </c>
      <c r="V114" s="55"/>
    </row>
    <row r="115" spans="2:22">
      <c r="B115" s="54"/>
      <c r="C115" s="28">
        <f>IF(D115='General inputs'!$I$16,0,IF(D115&lt;'General inputs'!$I$16,C116-1,C114+1))</f>
        <v>47</v>
      </c>
      <c r="D115" s="28" t="str">
        <f t="shared" si="4"/>
        <v>2071-72</v>
      </c>
      <c r="E115" s="83" t="str">
        <f>IF(LEFT(D115,4)*1&gt;LEFT('General inputs'!$I$16,4)+'General inputs'!$H$38-1,"",'ET inputs'!D88)</f>
        <v/>
      </c>
      <c r="F115" s="83" t="str">
        <f>IF(LEFT(D115,4)*1&gt;LEFT('General inputs'!$I$16,4)+'General inputs'!$H$38-1,"",E115/(1+'General inputs'!$H$30)^C115)</f>
        <v/>
      </c>
      <c r="G115" s="83" t="str">
        <f>IF(LEFT(D115,4)*1&gt;LEFT('General inputs'!$I$16,4)+'General inputs'!$H$38-1,"",E115/(1+'General inputs'!$H$32)^C115)</f>
        <v/>
      </c>
      <c r="H115" s="83" t="str">
        <f>IF(LEFT(D115,4)*1&lt;LEFT('General inputs'!$I$16,4)*1,"",IF(LEFT(D115,4)*1&gt;LEFT('General inputs'!$I$16,4)+'General inputs'!$H$38-1,"",E115/(1+'General inputs'!$H$34)^C115))</f>
        <v/>
      </c>
      <c r="I115" s="199"/>
      <c r="J115" s="113"/>
      <c r="K115" s="113"/>
      <c r="L115" s="83" t="str">
        <f>IF(LEFT(D115,4)*1&gt;LEFT('General inputs'!$I$18,4)*1,"",SUMIF('Post-1996 commissioned assets'!$F$22:$F$218,$D115,'Post-1996 commissioned assets'!$P$22:$P$218))</f>
        <v/>
      </c>
      <c r="M115" s="83" t="str">
        <f>IF(L115="","",L115/(1+'General inputs'!$H$32)^C115)</f>
        <v/>
      </c>
      <c r="N115" s="83">
        <f>IF(LEFT(D115,4)*1&lt;LEFT('General inputs'!$I$18,4)*1+1,"",SUMIF('Uncommissioned assets'!$F$22:$F$495,$D115,'Uncommissioned assets'!$P$22:$P$495))</f>
        <v>0</v>
      </c>
      <c r="O115" s="83">
        <f>IF(N115="","",N115/(1+'General inputs'!$H$32)^C115)</f>
        <v>0</v>
      </c>
      <c r="P115" s="199"/>
      <c r="Q115" s="39"/>
      <c r="R115" s="83" t="str">
        <f>IF(OR(LEFT(D115,4)*1&lt;LEFT('General inputs'!$I$16,4)*1,LEFT(D115,4)*1&gt;LEFT('General inputs'!$I$16,4)+'General inputs'!$H$38-1),"",Q115/(1+'General inputs'!$H$34)^C115)</f>
        <v/>
      </c>
      <c r="S115" s="199"/>
      <c r="T115" s="39"/>
      <c r="U115" s="83" t="str">
        <f>IF(OR(LEFT(D115,4)*1&lt;LEFT('General inputs'!$I$16,4)*1,LEFT(D115,4)*1&gt;LEFT('General inputs'!$I$16,4)+'General inputs'!$H$38-1),"",T115/(1+'General inputs'!$H$34)^C115)</f>
        <v/>
      </c>
      <c r="V115" s="55"/>
    </row>
    <row r="116" spans="2:22">
      <c r="B116" s="54"/>
      <c r="C116" s="28">
        <f>IF(D116='General inputs'!$I$16,0,IF(D116&lt;'General inputs'!$I$16,C117-1,C115+1))</f>
        <v>48</v>
      </c>
      <c r="D116" s="28" t="str">
        <f t="shared" si="4"/>
        <v>2072-73</v>
      </c>
      <c r="E116" s="83" t="str">
        <f>IF(LEFT(D116,4)*1&gt;LEFT('General inputs'!$I$16,4)+'General inputs'!$H$38-1,"",'ET inputs'!D89)</f>
        <v/>
      </c>
      <c r="F116" s="83" t="str">
        <f>IF(LEFT(D116,4)*1&gt;LEFT('General inputs'!$I$16,4)+'General inputs'!$H$38-1,"",E116/(1+'General inputs'!$H$30)^C116)</f>
        <v/>
      </c>
      <c r="G116" s="83" t="str">
        <f>IF(LEFT(D116,4)*1&gt;LEFT('General inputs'!$I$16,4)+'General inputs'!$H$38-1,"",E116/(1+'General inputs'!$H$32)^C116)</f>
        <v/>
      </c>
      <c r="H116" s="83" t="str">
        <f>IF(LEFT(D116,4)*1&lt;LEFT('General inputs'!$I$16,4)*1,"",IF(LEFT(D116,4)*1&gt;LEFT('General inputs'!$I$16,4)+'General inputs'!$H$38-1,"",E116/(1+'General inputs'!$H$34)^C116))</f>
        <v/>
      </c>
      <c r="I116" s="199"/>
      <c r="J116" s="113"/>
      <c r="K116" s="113"/>
      <c r="L116" s="83" t="str">
        <f>IF(LEFT(D116,4)*1&gt;LEFT('General inputs'!$I$18,4)*1,"",SUMIF('Post-1996 commissioned assets'!$F$22:$F$218,$D116,'Post-1996 commissioned assets'!$P$22:$P$218))</f>
        <v/>
      </c>
      <c r="M116" s="83" t="str">
        <f>IF(L116="","",L116/(1+'General inputs'!$H$32)^C116)</f>
        <v/>
      </c>
      <c r="N116" s="83">
        <f>IF(LEFT(D116,4)*1&lt;LEFT('General inputs'!$I$18,4)*1+1,"",SUMIF('Uncommissioned assets'!$F$22:$F$495,$D116,'Uncommissioned assets'!$P$22:$P$495))</f>
        <v>0</v>
      </c>
      <c r="O116" s="83">
        <f>IF(N116="","",N116/(1+'General inputs'!$H$32)^C116)</f>
        <v>0</v>
      </c>
      <c r="P116" s="199"/>
      <c r="Q116" s="39"/>
      <c r="R116" s="83" t="str">
        <f>IF(OR(LEFT(D116,4)*1&lt;LEFT('General inputs'!$I$16,4)*1,LEFT(D116,4)*1&gt;LEFT('General inputs'!$I$16,4)+'General inputs'!$H$38-1),"",Q116/(1+'General inputs'!$H$34)^C116)</f>
        <v/>
      </c>
      <c r="S116" s="199"/>
      <c r="T116" s="39"/>
      <c r="U116" s="83" t="str">
        <f>IF(OR(LEFT(D116,4)*1&lt;LEFT('General inputs'!$I$16,4)*1,LEFT(D116,4)*1&gt;LEFT('General inputs'!$I$16,4)+'General inputs'!$H$38-1),"",T116/(1+'General inputs'!$H$34)^C116)</f>
        <v/>
      </c>
      <c r="V116" s="55"/>
    </row>
    <row r="117" spans="2:22">
      <c r="B117" s="54"/>
      <c r="C117" s="28">
        <f>IF(D117='General inputs'!$I$16,0,IF(D117&lt;'General inputs'!$I$16,C118-1,C116+1))</f>
        <v>49</v>
      </c>
      <c r="D117" s="28" t="str">
        <f t="shared" si="4"/>
        <v>2073-74</v>
      </c>
      <c r="E117" s="83" t="str">
        <f>IF(LEFT(D117,4)*1&gt;LEFT('General inputs'!$I$16,4)+'General inputs'!$H$38-1,"",'ET inputs'!D90)</f>
        <v/>
      </c>
      <c r="F117" s="83" t="str">
        <f>IF(LEFT(D117,4)*1&gt;LEFT('General inputs'!$I$16,4)+'General inputs'!$H$38-1,"",E117/(1+'General inputs'!$H$30)^C117)</f>
        <v/>
      </c>
      <c r="G117" s="83" t="str">
        <f>IF(LEFT(D117,4)*1&gt;LEFT('General inputs'!$I$16,4)+'General inputs'!$H$38-1,"",E117/(1+'General inputs'!$H$32)^C117)</f>
        <v/>
      </c>
      <c r="H117" s="83" t="str">
        <f>IF(LEFT(D117,4)*1&lt;LEFT('General inputs'!$I$16,4)*1,"",IF(LEFT(D117,4)*1&gt;LEFT('General inputs'!$I$16,4)+'General inputs'!$H$38-1,"",E117/(1+'General inputs'!$H$34)^C117))</f>
        <v/>
      </c>
      <c r="I117" s="199"/>
      <c r="J117" s="113"/>
      <c r="K117" s="113"/>
      <c r="L117" s="83" t="str">
        <f>IF(LEFT(D117,4)*1&gt;LEFT('General inputs'!$I$18,4)*1,"",SUMIF('Post-1996 commissioned assets'!$F$22:$F$218,$D117,'Post-1996 commissioned assets'!$P$22:$P$218))</f>
        <v/>
      </c>
      <c r="M117" s="83" t="str">
        <f>IF(L117="","",L117/(1+'General inputs'!$H$32)^C117)</f>
        <v/>
      </c>
      <c r="N117" s="83">
        <f>IF(LEFT(D117,4)*1&lt;LEFT('General inputs'!$I$18,4)*1+1,"",SUMIF('Uncommissioned assets'!$F$22:$F$495,$D117,'Uncommissioned assets'!$P$22:$P$495))</f>
        <v>0</v>
      </c>
      <c r="O117" s="83">
        <f>IF(N117="","",N117/(1+'General inputs'!$H$32)^C117)</f>
        <v>0</v>
      </c>
      <c r="P117" s="199"/>
      <c r="Q117" s="39"/>
      <c r="R117" s="83" t="str">
        <f>IF(OR(LEFT(D117,4)*1&lt;LEFT('General inputs'!$I$16,4)*1,LEFT(D117,4)*1&gt;LEFT('General inputs'!$I$16,4)+'General inputs'!$H$38-1),"",Q117/(1+'General inputs'!$H$34)^C117)</f>
        <v/>
      </c>
      <c r="S117" s="199"/>
      <c r="T117" s="39"/>
      <c r="U117" s="83" t="str">
        <f>IF(OR(LEFT(D117,4)*1&lt;LEFT('General inputs'!$I$16,4)*1,LEFT(D117,4)*1&gt;LEFT('General inputs'!$I$16,4)+'General inputs'!$H$38-1),"",T117/(1+'General inputs'!$H$34)^C117)</f>
        <v/>
      </c>
      <c r="V117" s="55"/>
    </row>
    <row r="118" spans="2:22">
      <c r="B118" s="54"/>
      <c r="C118" s="28">
        <f>IF(D118='General inputs'!$I$16,0,IF(D118&lt;'General inputs'!$I$16,C119-1,C117+1))</f>
        <v>50</v>
      </c>
      <c r="D118" s="28" t="str">
        <f t="shared" si="4"/>
        <v>2074-75</v>
      </c>
      <c r="E118" s="83" t="str">
        <f>IF(LEFT(D118,4)*1&gt;LEFT('General inputs'!$I$16,4)+'General inputs'!$H$38-1,"",'ET inputs'!D91)</f>
        <v/>
      </c>
      <c r="F118" s="83" t="str">
        <f>IF(LEFT(D118,4)*1&gt;LEFT('General inputs'!$I$16,4)+'General inputs'!$H$38-1,"",E118/(1+'General inputs'!$H$30)^C118)</f>
        <v/>
      </c>
      <c r="G118" s="83" t="str">
        <f>IF(LEFT(D118,4)*1&gt;LEFT('General inputs'!$I$16,4)+'General inputs'!$H$38-1,"",E118/(1+'General inputs'!$H$32)^C118)</f>
        <v/>
      </c>
      <c r="H118" s="83" t="str">
        <f>IF(LEFT(D118,4)*1&lt;LEFT('General inputs'!$I$16,4)*1,"",IF(LEFT(D118,4)*1&gt;LEFT('General inputs'!$I$16,4)+'General inputs'!$H$38-1,"",E118/(1+'General inputs'!$H$34)^C118))</f>
        <v/>
      </c>
      <c r="I118" s="199"/>
      <c r="J118" s="113"/>
      <c r="K118" s="113"/>
      <c r="L118" s="83" t="str">
        <f>IF(LEFT(D118,4)*1&gt;LEFT('General inputs'!$I$18,4)*1,"",SUMIF('Post-1996 commissioned assets'!$F$22:$F$218,$D118,'Post-1996 commissioned assets'!$P$22:$P$218))</f>
        <v/>
      </c>
      <c r="M118" s="83" t="str">
        <f>IF(L118="","",L118/(1+'General inputs'!$H$32)^C118)</f>
        <v/>
      </c>
      <c r="N118" s="83">
        <f>IF(LEFT(D118,4)*1&lt;LEFT('General inputs'!$I$18,4)*1+1,"",SUMIF('Uncommissioned assets'!$F$22:$F$495,$D118,'Uncommissioned assets'!$P$22:$P$495))</f>
        <v>0</v>
      </c>
      <c r="O118" s="83">
        <f>IF(N118="","",N118/(1+'General inputs'!$H$32)^C118)</f>
        <v>0</v>
      </c>
      <c r="P118" s="199"/>
      <c r="Q118" s="39"/>
      <c r="R118" s="83" t="str">
        <f>IF(OR(LEFT(D118,4)*1&lt;LEFT('General inputs'!$I$16,4)*1,LEFT(D118,4)*1&gt;LEFT('General inputs'!$I$16,4)+'General inputs'!$H$38-1),"",Q118/(1+'General inputs'!$H$34)^C118)</f>
        <v/>
      </c>
      <c r="S118" s="199"/>
      <c r="T118" s="39"/>
      <c r="U118" s="83" t="str">
        <f>IF(OR(LEFT(D118,4)*1&lt;LEFT('General inputs'!$I$16,4)*1,LEFT(D118,4)*1&gt;LEFT('General inputs'!$I$16,4)+'General inputs'!$H$38-1),"",T118/(1+'General inputs'!$H$34)^C118)</f>
        <v/>
      </c>
      <c r="V118" s="55"/>
    </row>
    <row r="119" spans="2:22">
      <c r="B119" s="54"/>
      <c r="C119" s="28">
        <f>IF(D119='General inputs'!$I$16,0,IF(D119&lt;'General inputs'!$I$16,C120-1,C118+1))</f>
        <v>51</v>
      </c>
      <c r="D119" s="28" t="str">
        <f t="shared" si="4"/>
        <v>2075-76</v>
      </c>
      <c r="E119" s="83" t="str">
        <f>IF(LEFT(D119,4)*1&gt;LEFT('General inputs'!$I$16,4)+'General inputs'!$H$38-1,"",'ET inputs'!D92)</f>
        <v/>
      </c>
      <c r="F119" s="83" t="str">
        <f>IF(LEFT(D119,4)*1&gt;LEFT('General inputs'!$I$16,4)+'General inputs'!$H$38-1,"",E119/(1+'General inputs'!$H$30)^C119)</f>
        <v/>
      </c>
      <c r="G119" s="83" t="str">
        <f>IF(LEFT(D119,4)*1&gt;LEFT('General inputs'!$I$16,4)+'General inputs'!$H$38-1,"",E119/(1+'General inputs'!$H$32)^C119)</f>
        <v/>
      </c>
      <c r="H119" s="83" t="str">
        <f>IF(LEFT(D119,4)*1&lt;LEFT('General inputs'!$I$16,4)*1,"",IF(LEFT(D119,4)*1&gt;LEFT('General inputs'!$I$16,4)+'General inputs'!$H$38-1,"",E119/(1+'General inputs'!$H$34)^C119))</f>
        <v/>
      </c>
      <c r="I119" s="199"/>
      <c r="J119" s="113"/>
      <c r="K119" s="113"/>
      <c r="L119" s="83" t="str">
        <f>IF(LEFT(D119,4)*1&gt;LEFT('General inputs'!$I$18,4)*1,"",SUMIF('Post-1996 commissioned assets'!$F$22:$F$218,$D119,'Post-1996 commissioned assets'!$P$22:$P$218))</f>
        <v/>
      </c>
      <c r="M119" s="83" t="str">
        <f>IF(L119="","",L119/(1+'General inputs'!$H$32)^C119)</f>
        <v/>
      </c>
      <c r="N119" s="83">
        <f>IF(LEFT(D119,4)*1&lt;LEFT('General inputs'!$I$18,4)*1+1,"",SUMIF('Uncommissioned assets'!$F$22:$F$495,$D119,'Uncommissioned assets'!$P$22:$P$495))</f>
        <v>0</v>
      </c>
      <c r="O119" s="83">
        <f>IF(N119="","",N119/(1+'General inputs'!$H$32)^C119)</f>
        <v>0</v>
      </c>
      <c r="P119" s="199"/>
      <c r="Q119" s="39"/>
      <c r="R119" s="83" t="str">
        <f>IF(OR(LEFT(D119,4)*1&lt;LEFT('General inputs'!$I$16,4)*1,LEFT(D119,4)*1&gt;LEFT('General inputs'!$I$16,4)+'General inputs'!$H$38-1),"",Q119/(1+'General inputs'!$H$34)^C119)</f>
        <v/>
      </c>
      <c r="S119" s="199"/>
      <c r="T119" s="39"/>
      <c r="U119" s="83" t="str">
        <f>IF(OR(LEFT(D119,4)*1&lt;LEFT('General inputs'!$I$16,4)*1,LEFT(D119,4)*1&gt;LEFT('General inputs'!$I$16,4)+'General inputs'!$H$38-1),"",T119/(1+'General inputs'!$H$34)^C119)</f>
        <v/>
      </c>
      <c r="V119" s="55"/>
    </row>
    <row r="120" spans="2:22">
      <c r="B120" s="54"/>
      <c r="C120" s="28">
        <f>IF(D120='General inputs'!$I$16,0,IF(D120&lt;'General inputs'!$I$16,C121-1,C119+1))</f>
        <v>52</v>
      </c>
      <c r="D120" s="28" t="str">
        <f t="shared" si="4"/>
        <v>2076-77</v>
      </c>
      <c r="E120" s="83" t="str">
        <f>IF(LEFT(D120,4)*1&gt;LEFT('General inputs'!$I$16,4)+'General inputs'!$H$38-1,"",'ET inputs'!D93)</f>
        <v/>
      </c>
      <c r="F120" s="83" t="str">
        <f>IF(LEFT(D120,4)*1&gt;LEFT('General inputs'!$I$16,4)+'General inputs'!$H$38-1,"",E120/(1+'General inputs'!$H$30)^C120)</f>
        <v/>
      </c>
      <c r="G120" s="83" t="str">
        <f>IF(LEFT(D120,4)*1&gt;LEFT('General inputs'!$I$16,4)+'General inputs'!$H$38-1,"",E120/(1+'General inputs'!$H$32)^C120)</f>
        <v/>
      </c>
      <c r="H120" s="83" t="str">
        <f>IF(LEFT(D120,4)*1&lt;LEFT('General inputs'!$I$16,4)*1,"",IF(LEFT(D120,4)*1&gt;LEFT('General inputs'!$I$16,4)+'General inputs'!$H$38-1,"",E120/(1+'General inputs'!$H$34)^C120))</f>
        <v/>
      </c>
      <c r="I120" s="199"/>
      <c r="J120" s="113"/>
      <c r="K120" s="113"/>
      <c r="L120" s="83" t="str">
        <f>IF(LEFT(D120,4)*1&gt;LEFT('General inputs'!$I$18,4)*1,"",SUMIF('Post-1996 commissioned assets'!$F$22:$F$218,$D120,'Post-1996 commissioned assets'!$P$22:$P$218))</f>
        <v/>
      </c>
      <c r="M120" s="83" t="str">
        <f>IF(L120="","",L120/(1+'General inputs'!$H$32)^C120)</f>
        <v/>
      </c>
      <c r="N120" s="83">
        <f>IF(LEFT(D120,4)*1&lt;LEFT('General inputs'!$I$18,4)*1+1,"",SUMIF('Uncommissioned assets'!$F$22:$F$495,$D120,'Uncommissioned assets'!$P$22:$P$495))</f>
        <v>0</v>
      </c>
      <c r="O120" s="83">
        <f>IF(N120="","",N120/(1+'General inputs'!$H$32)^C120)</f>
        <v>0</v>
      </c>
      <c r="P120" s="199"/>
      <c r="Q120" s="39"/>
      <c r="R120" s="83" t="str">
        <f>IF(OR(LEFT(D120,4)*1&lt;LEFT('General inputs'!$I$16,4)*1,LEFT(D120,4)*1&gt;LEFT('General inputs'!$I$16,4)+'General inputs'!$H$38-1),"",Q120/(1+'General inputs'!$H$34)^C120)</f>
        <v/>
      </c>
      <c r="S120" s="199"/>
      <c r="T120" s="39"/>
      <c r="U120" s="83" t="str">
        <f>IF(OR(LEFT(D120,4)*1&lt;LEFT('General inputs'!$I$16,4)*1,LEFT(D120,4)*1&gt;LEFT('General inputs'!$I$16,4)+'General inputs'!$H$38-1),"",T120/(1+'General inputs'!$H$34)^C120)</f>
        <v/>
      </c>
      <c r="V120" s="55"/>
    </row>
    <row r="121" spans="2:22">
      <c r="B121" s="54"/>
      <c r="C121" s="28">
        <f>IF(D121='General inputs'!$I$16,0,IF(D121&lt;'General inputs'!$I$16,C122-1,C120+1))</f>
        <v>53</v>
      </c>
      <c r="D121" s="28" t="str">
        <f t="shared" si="4"/>
        <v>2077-78</v>
      </c>
      <c r="E121" s="83" t="str">
        <f>IF(LEFT(D121,4)*1&gt;LEFT('General inputs'!$I$16,4)+'General inputs'!$H$38-1,"",'ET inputs'!D94)</f>
        <v/>
      </c>
      <c r="F121" s="83" t="str">
        <f>IF(LEFT(D121,4)*1&gt;LEFT('General inputs'!$I$16,4)+'General inputs'!$H$38-1,"",E121/(1+'General inputs'!$H$30)^C121)</f>
        <v/>
      </c>
      <c r="G121" s="83" t="str">
        <f>IF(LEFT(D121,4)*1&gt;LEFT('General inputs'!$I$16,4)+'General inputs'!$H$38-1,"",E121/(1+'General inputs'!$H$32)^C121)</f>
        <v/>
      </c>
      <c r="H121" s="83" t="str">
        <f>IF(LEFT(D121,4)*1&lt;LEFT('General inputs'!$I$16,4)*1,"",IF(LEFT(D121,4)*1&gt;LEFT('General inputs'!$I$16,4)+'General inputs'!$H$38-1,"",E121/(1+'General inputs'!$H$34)^C121))</f>
        <v/>
      </c>
      <c r="I121" s="199"/>
      <c r="J121" s="113"/>
      <c r="K121" s="113"/>
      <c r="L121" s="83" t="str">
        <f>IF(LEFT(D121,4)*1&gt;LEFT('General inputs'!$I$18,4)*1,"",SUMIF('Post-1996 commissioned assets'!$F$22:$F$218,$D121,'Post-1996 commissioned assets'!$P$22:$P$218))</f>
        <v/>
      </c>
      <c r="M121" s="83" t="str">
        <f>IF(L121="","",L121/(1+'General inputs'!$H$32)^C121)</f>
        <v/>
      </c>
      <c r="N121" s="83">
        <f>IF(LEFT(D121,4)*1&lt;LEFT('General inputs'!$I$18,4)*1+1,"",SUMIF('Uncommissioned assets'!$F$22:$F$495,$D121,'Uncommissioned assets'!$P$22:$P$495))</f>
        <v>0</v>
      </c>
      <c r="O121" s="83">
        <f>IF(N121="","",N121/(1+'General inputs'!$H$32)^C121)</f>
        <v>0</v>
      </c>
      <c r="P121" s="199"/>
      <c r="Q121" s="39"/>
      <c r="R121" s="83" t="str">
        <f>IF(OR(LEFT(D121,4)*1&lt;LEFT('General inputs'!$I$16,4)*1,LEFT(D121,4)*1&gt;LEFT('General inputs'!$I$16,4)+'General inputs'!$H$38-1),"",Q121/(1+'General inputs'!$H$34)^C121)</f>
        <v/>
      </c>
      <c r="S121" s="199"/>
      <c r="T121" s="39"/>
      <c r="U121" s="83" t="str">
        <f>IF(OR(LEFT(D121,4)*1&lt;LEFT('General inputs'!$I$16,4)*1,LEFT(D121,4)*1&gt;LEFT('General inputs'!$I$16,4)+'General inputs'!$H$38-1),"",T121/(1+'General inputs'!$H$34)^C121)</f>
        <v/>
      </c>
      <c r="V121" s="55"/>
    </row>
    <row r="122" spans="2:22">
      <c r="B122" s="54"/>
      <c r="C122" s="28">
        <f>IF(D122='General inputs'!$I$16,0,IF(D122&lt;'General inputs'!$I$16,C123-1,C121+1))</f>
        <v>54</v>
      </c>
      <c r="D122" s="28" t="str">
        <f t="shared" si="4"/>
        <v>2078-79</v>
      </c>
      <c r="E122" s="83" t="str">
        <f>IF(LEFT(D122,4)*1&gt;LEFT('General inputs'!$I$16,4)+'General inputs'!$H$38-1,"",'ET inputs'!D95)</f>
        <v/>
      </c>
      <c r="F122" s="83" t="str">
        <f>IF(LEFT(D122,4)*1&gt;LEFT('General inputs'!$I$16,4)+'General inputs'!$H$38-1,"",E122/(1+'General inputs'!$H$30)^C122)</f>
        <v/>
      </c>
      <c r="G122" s="83" t="str">
        <f>IF(LEFT(D122,4)*1&gt;LEFT('General inputs'!$I$16,4)+'General inputs'!$H$38-1,"",E122/(1+'General inputs'!$H$32)^C122)</f>
        <v/>
      </c>
      <c r="H122" s="83" t="str">
        <f>IF(LEFT(D122,4)*1&lt;LEFT('General inputs'!$I$16,4)*1,"",IF(LEFT(D122,4)*1&gt;LEFT('General inputs'!$I$16,4)+'General inputs'!$H$38-1,"",E122/(1+'General inputs'!$H$34)^C122))</f>
        <v/>
      </c>
      <c r="I122" s="199"/>
      <c r="J122" s="113"/>
      <c r="K122" s="113"/>
      <c r="L122" s="83" t="str">
        <f>IF(LEFT(D122,4)*1&gt;LEFT('General inputs'!$I$18,4)*1,"",SUMIF('Post-1996 commissioned assets'!$F$22:$F$218,$D122,'Post-1996 commissioned assets'!$P$22:$P$218))</f>
        <v/>
      </c>
      <c r="M122" s="83" t="str">
        <f>IF(L122="","",L122/(1+'General inputs'!$H$32)^C122)</f>
        <v/>
      </c>
      <c r="N122" s="83">
        <f>IF(LEFT(D122,4)*1&lt;LEFT('General inputs'!$I$18,4)*1+1,"",SUMIF('Uncommissioned assets'!$F$22:$F$495,$D122,'Uncommissioned assets'!$P$22:$P$495))</f>
        <v>0</v>
      </c>
      <c r="O122" s="83">
        <f>IF(N122="","",N122/(1+'General inputs'!$H$32)^C122)</f>
        <v>0</v>
      </c>
      <c r="P122" s="199"/>
      <c r="Q122" s="39"/>
      <c r="R122" s="83" t="str">
        <f>IF(OR(LEFT(D122,4)*1&lt;LEFT('General inputs'!$I$16,4)*1,LEFT(D122,4)*1&gt;LEFT('General inputs'!$I$16,4)+'General inputs'!$H$38-1),"",Q122/(1+'General inputs'!$H$34)^C122)</f>
        <v/>
      </c>
      <c r="S122" s="199"/>
      <c r="T122" s="39"/>
      <c r="U122" s="83" t="str">
        <f>IF(OR(LEFT(D122,4)*1&lt;LEFT('General inputs'!$I$16,4)*1,LEFT(D122,4)*1&gt;LEFT('General inputs'!$I$16,4)+'General inputs'!$H$38-1),"",T122/(1+'General inputs'!$H$34)^C122)</f>
        <v/>
      </c>
      <c r="V122" s="55"/>
    </row>
    <row r="123" spans="2:22">
      <c r="B123" s="54"/>
      <c r="C123" s="28">
        <f>IF(D123='General inputs'!$I$16,0,IF(D123&lt;'General inputs'!$I$16,C124-1,C122+1))</f>
        <v>55</v>
      </c>
      <c r="D123" s="28" t="str">
        <f t="shared" ref="D123:D129" si="5">LEFT(D122,4)+1&amp;"-"&amp;RIGHT(D122,2)+1</f>
        <v>2079-80</v>
      </c>
      <c r="E123" s="83" t="str">
        <f>IF(LEFT(D123,4)*1&gt;LEFT('General inputs'!$I$16,4)+'General inputs'!$H$38-1,"",'ET inputs'!D96)</f>
        <v/>
      </c>
      <c r="F123" s="83" t="str">
        <f>IF(LEFT(D123,4)*1&gt;LEFT('General inputs'!$I$16,4)+'General inputs'!$H$38-1,"",E123/(1+'General inputs'!$H$30)^C123)</f>
        <v/>
      </c>
      <c r="G123" s="83" t="str">
        <f>IF(LEFT(D123,4)*1&gt;LEFT('General inputs'!$I$16,4)+'General inputs'!$H$38-1,"",E123/(1+'General inputs'!$H$32)^C123)</f>
        <v/>
      </c>
      <c r="H123" s="83" t="str">
        <f>IF(LEFT(D123,4)*1&lt;LEFT('General inputs'!$I$16,4)*1,"",IF(LEFT(D123,4)*1&gt;LEFT('General inputs'!$I$16,4)+'General inputs'!$H$38-1,"",E123/(1+'General inputs'!$H$34)^C123))</f>
        <v/>
      </c>
      <c r="I123" s="199"/>
      <c r="J123" s="113"/>
      <c r="K123" s="113"/>
      <c r="L123" s="83" t="str">
        <f>IF(LEFT(D123,4)*1&gt;LEFT('General inputs'!$I$18,4)*1,"",SUMIF('Post-1996 commissioned assets'!$F$22:$F$218,$D123,'Post-1996 commissioned assets'!$P$22:$P$218))</f>
        <v/>
      </c>
      <c r="M123" s="83" t="str">
        <f>IF(L123="","",L123/(1+'General inputs'!$H$32)^C123)</f>
        <v/>
      </c>
      <c r="N123" s="83">
        <f>IF(LEFT(D123,4)*1&lt;LEFT('General inputs'!$I$18,4)*1+1,"",SUMIF('Uncommissioned assets'!$F$22:$F$495,$D123,'Uncommissioned assets'!$P$22:$P$495))</f>
        <v>0</v>
      </c>
      <c r="O123" s="83">
        <f>IF(N123="","",N123/(1+'General inputs'!$H$32)^C123)</f>
        <v>0</v>
      </c>
      <c r="P123" s="199"/>
      <c r="Q123" s="39"/>
      <c r="R123" s="83" t="str">
        <f>IF(OR(LEFT(D123,4)*1&lt;LEFT('General inputs'!$I$16,4)*1,LEFT(D123,4)*1&gt;LEFT('General inputs'!$I$16,4)+'General inputs'!$H$38-1),"",Q123/(1+'General inputs'!$H$34)^C123)</f>
        <v/>
      </c>
      <c r="S123" s="199"/>
      <c r="T123" s="39"/>
      <c r="U123" s="83" t="str">
        <f>IF(OR(LEFT(D123,4)*1&lt;LEFT('General inputs'!$I$16,4)*1,LEFT(D123,4)*1&gt;LEFT('General inputs'!$I$16,4)+'General inputs'!$H$38-1),"",T123/(1+'General inputs'!$H$34)^C123)</f>
        <v/>
      </c>
      <c r="V123" s="55"/>
    </row>
    <row r="124" spans="2:22">
      <c r="B124" s="54"/>
      <c r="C124" s="28">
        <f>IF(D124='General inputs'!$I$16,0,IF(D124&lt;'General inputs'!$I$16,C125-1,C123+1))</f>
        <v>56</v>
      </c>
      <c r="D124" s="28" t="str">
        <f t="shared" si="5"/>
        <v>2080-81</v>
      </c>
      <c r="E124" s="83" t="str">
        <f>IF(LEFT(D124,4)*1&gt;LEFT('General inputs'!$I$16,4)+'General inputs'!$H$38-1,"",'ET inputs'!D97)</f>
        <v/>
      </c>
      <c r="F124" s="83" t="str">
        <f>IF(LEFT(D124,4)*1&gt;LEFT('General inputs'!$I$16,4)+'General inputs'!$H$38-1,"",E124/(1+'General inputs'!$H$30)^C124)</f>
        <v/>
      </c>
      <c r="G124" s="83" t="str">
        <f>IF(LEFT(D124,4)*1&gt;LEFT('General inputs'!$I$16,4)+'General inputs'!$H$38-1,"",E124/(1+'General inputs'!$H$32)^C124)</f>
        <v/>
      </c>
      <c r="H124" s="83" t="str">
        <f>IF(LEFT(D124,4)*1&lt;LEFT('General inputs'!$I$16,4)*1,"",IF(LEFT(D124,4)*1&gt;LEFT('General inputs'!$I$16,4)+'General inputs'!$H$38-1,"",E124/(1+'General inputs'!$H$34)^C124))</f>
        <v/>
      </c>
      <c r="I124" s="199"/>
      <c r="J124" s="113"/>
      <c r="K124" s="113"/>
      <c r="L124" s="83" t="str">
        <f>IF(LEFT(D124,4)*1&gt;LEFT('General inputs'!$I$18,4)*1,"",SUMIF('Post-1996 commissioned assets'!$F$22:$F$218,$D124,'Post-1996 commissioned assets'!$P$22:$P$218))</f>
        <v/>
      </c>
      <c r="M124" s="83" t="str">
        <f>IF(L124="","",L124/(1+'General inputs'!$H$32)^C124)</f>
        <v/>
      </c>
      <c r="N124" s="83">
        <f>IF(LEFT(D124,4)*1&lt;LEFT('General inputs'!$I$18,4)*1+1,"",SUMIF('Uncommissioned assets'!$F$22:$F$495,$D124,'Uncommissioned assets'!$P$22:$P$495))</f>
        <v>0</v>
      </c>
      <c r="O124" s="83">
        <f>IF(N124="","",N124/(1+'General inputs'!$H$32)^C124)</f>
        <v>0</v>
      </c>
      <c r="P124" s="199"/>
      <c r="Q124" s="39"/>
      <c r="R124" s="83" t="str">
        <f>IF(OR(LEFT(D124,4)*1&lt;LEFT('General inputs'!$I$16,4)*1,LEFT(D124,4)*1&gt;LEFT('General inputs'!$I$16,4)+'General inputs'!$H$38-1),"",Q124/(1+'General inputs'!$H$34)^C124)</f>
        <v/>
      </c>
      <c r="S124" s="199"/>
      <c r="T124" s="39"/>
      <c r="U124" s="83" t="str">
        <f>IF(OR(LEFT(D124,4)*1&lt;LEFT('General inputs'!$I$16,4)*1,LEFT(D124,4)*1&gt;LEFT('General inputs'!$I$16,4)+'General inputs'!$H$38-1),"",T124/(1+'General inputs'!$H$34)^C124)</f>
        <v/>
      </c>
      <c r="V124" s="55"/>
    </row>
    <row r="125" spans="2:22">
      <c r="B125" s="54"/>
      <c r="C125" s="28">
        <f>IF(D125='General inputs'!$I$16,0,IF(D125&lt;'General inputs'!$I$16,C126-1,C124+1))</f>
        <v>57</v>
      </c>
      <c r="D125" s="28" t="str">
        <f t="shared" si="5"/>
        <v>2081-82</v>
      </c>
      <c r="E125" s="83" t="str">
        <f>IF(LEFT(D125,4)*1&gt;LEFT('General inputs'!$I$16,4)+'General inputs'!$H$38-1,"",'ET inputs'!D98)</f>
        <v/>
      </c>
      <c r="F125" s="83" t="str">
        <f>IF(LEFT(D125,4)*1&gt;LEFT('General inputs'!$I$16,4)+'General inputs'!$H$38-1,"",E125/(1+'General inputs'!$H$30)^C125)</f>
        <v/>
      </c>
      <c r="G125" s="83" t="str">
        <f>IF(LEFT(D125,4)*1&gt;LEFT('General inputs'!$I$16,4)+'General inputs'!$H$38-1,"",E125/(1+'General inputs'!$H$32)^C125)</f>
        <v/>
      </c>
      <c r="H125" s="83" t="str">
        <f>IF(LEFT(D125,4)*1&lt;LEFT('General inputs'!$I$16,4)*1,"",IF(LEFT(D125,4)*1&gt;LEFT('General inputs'!$I$16,4)+'General inputs'!$H$38-1,"",E125/(1+'General inputs'!$H$34)^C125))</f>
        <v/>
      </c>
      <c r="I125" s="199"/>
      <c r="J125" s="113"/>
      <c r="K125" s="113"/>
      <c r="L125" s="83" t="str">
        <f>IF(LEFT(D125,4)*1&gt;LEFT('General inputs'!$I$18,4)*1,"",SUMIF('Post-1996 commissioned assets'!$F$22:$F$218,$D125,'Post-1996 commissioned assets'!$P$22:$P$218))</f>
        <v/>
      </c>
      <c r="M125" s="83" t="str">
        <f>IF(L125="","",L125/(1+'General inputs'!$H$32)^C125)</f>
        <v/>
      </c>
      <c r="N125" s="83">
        <f>IF(LEFT(D125,4)*1&lt;LEFT('General inputs'!$I$18,4)*1+1,"",SUMIF('Uncommissioned assets'!$F$22:$F$495,$D125,'Uncommissioned assets'!$P$22:$P$495))</f>
        <v>0</v>
      </c>
      <c r="O125" s="83">
        <f>IF(N125="","",N125/(1+'General inputs'!$H$32)^C125)</f>
        <v>0</v>
      </c>
      <c r="P125" s="199"/>
      <c r="Q125" s="39"/>
      <c r="R125" s="83" t="str">
        <f>IF(OR(LEFT(D125,4)*1&lt;LEFT('General inputs'!$I$16,4)*1,LEFT(D125,4)*1&gt;LEFT('General inputs'!$I$16,4)+'General inputs'!$H$38-1),"",Q125/(1+'General inputs'!$H$34)^C125)</f>
        <v/>
      </c>
      <c r="S125" s="199"/>
      <c r="T125" s="39"/>
      <c r="U125" s="83" t="str">
        <f>IF(OR(LEFT(D125,4)*1&lt;LEFT('General inputs'!$I$16,4)*1,LEFT(D125,4)*1&gt;LEFT('General inputs'!$I$16,4)+'General inputs'!$H$38-1),"",T125/(1+'General inputs'!$H$34)^C125)</f>
        <v/>
      </c>
      <c r="V125" s="55"/>
    </row>
    <row r="126" spans="2:22">
      <c r="B126" s="54"/>
      <c r="C126" s="28">
        <f>IF(D126='General inputs'!$I$16,0,IF(D126&lt;'General inputs'!$I$16,C127-1,C125+1))</f>
        <v>58</v>
      </c>
      <c r="D126" s="28" t="str">
        <f t="shared" si="5"/>
        <v>2082-83</v>
      </c>
      <c r="E126" s="83" t="str">
        <f>IF(LEFT(D126,4)*1&gt;LEFT('General inputs'!$I$16,4)+'General inputs'!$H$38-1,"",'ET inputs'!D99)</f>
        <v/>
      </c>
      <c r="F126" s="83" t="str">
        <f>IF(LEFT(D126,4)*1&gt;LEFT('General inputs'!$I$16,4)+'General inputs'!$H$38-1,"",E126/(1+'General inputs'!$H$30)^C126)</f>
        <v/>
      </c>
      <c r="G126" s="83" t="str">
        <f>IF(LEFT(D126,4)*1&gt;LEFT('General inputs'!$I$16,4)+'General inputs'!$H$38-1,"",E126/(1+'General inputs'!$H$32)^C126)</f>
        <v/>
      </c>
      <c r="H126" s="83" t="str">
        <f>IF(LEFT(D126,4)*1&lt;LEFT('General inputs'!$I$16,4)*1,"",IF(LEFT(D126,4)*1&gt;LEFT('General inputs'!$I$16,4)+'General inputs'!$H$38-1,"",E126/(1+'General inputs'!$H$34)^C126))</f>
        <v/>
      </c>
      <c r="I126" s="199"/>
      <c r="J126" s="113"/>
      <c r="K126" s="113"/>
      <c r="L126" s="83" t="str">
        <f>IF(LEFT(D126,4)*1&gt;LEFT('General inputs'!$I$18,4)*1,"",SUMIF('Post-1996 commissioned assets'!$F$22:$F$218,$D126,'Post-1996 commissioned assets'!$P$22:$P$218))</f>
        <v/>
      </c>
      <c r="M126" s="83" t="str">
        <f>IF(L126="","",L126/(1+'General inputs'!$H$32)^C126)</f>
        <v/>
      </c>
      <c r="N126" s="83">
        <f>IF(LEFT(D126,4)*1&lt;LEFT('General inputs'!$I$18,4)*1+1,"",SUMIF('Uncommissioned assets'!$F$22:$F$495,$D126,'Uncommissioned assets'!$P$22:$P$495))</f>
        <v>0</v>
      </c>
      <c r="O126" s="83">
        <f>IF(N126="","",N126/(1+'General inputs'!$H$32)^C126)</f>
        <v>0</v>
      </c>
      <c r="P126" s="199"/>
      <c r="Q126" s="39"/>
      <c r="R126" s="83" t="str">
        <f>IF(OR(LEFT(D126,4)*1&lt;LEFT('General inputs'!$I$16,4)*1,LEFT(D126,4)*1&gt;LEFT('General inputs'!$I$16,4)+'General inputs'!$H$38-1),"",Q126/(1+'General inputs'!$H$34)^C126)</f>
        <v/>
      </c>
      <c r="S126" s="199"/>
      <c r="T126" s="39"/>
      <c r="U126" s="83" t="str">
        <f>IF(OR(LEFT(D126,4)*1&lt;LEFT('General inputs'!$I$16,4)*1,LEFT(D126,4)*1&gt;LEFT('General inputs'!$I$16,4)+'General inputs'!$H$38-1),"",T126/(1+'General inputs'!$H$34)^C126)</f>
        <v/>
      </c>
      <c r="V126" s="55"/>
    </row>
    <row r="127" spans="2:22">
      <c r="B127" s="54"/>
      <c r="C127" s="28">
        <f>IF(D127='General inputs'!$I$16,0,IF(D127&lt;'General inputs'!$I$16,C128-1,C126+1))</f>
        <v>59</v>
      </c>
      <c r="D127" s="28" t="str">
        <f t="shared" si="5"/>
        <v>2083-84</v>
      </c>
      <c r="E127" s="83" t="str">
        <f>IF(LEFT(D127,4)*1&gt;LEFT('General inputs'!$I$16,4)+'General inputs'!$H$38-1,"",'ET inputs'!D100)</f>
        <v/>
      </c>
      <c r="F127" s="83" t="str">
        <f>IF(LEFT(D127,4)*1&gt;LEFT('General inputs'!$I$16,4)+'General inputs'!$H$38-1,"",E127/(1+'General inputs'!$H$30)^C127)</f>
        <v/>
      </c>
      <c r="G127" s="83" t="str">
        <f>IF(LEFT(D127,4)*1&gt;LEFT('General inputs'!$I$16,4)+'General inputs'!$H$38-1,"",E127/(1+'General inputs'!$H$32)^C127)</f>
        <v/>
      </c>
      <c r="H127" s="83" t="str">
        <f>IF(LEFT(D127,4)*1&lt;LEFT('General inputs'!$I$16,4)*1,"",IF(LEFT(D127,4)*1&gt;LEFT('General inputs'!$I$16,4)+'General inputs'!$H$38-1,"",E127/(1+'General inputs'!$H$34)^C127))</f>
        <v/>
      </c>
      <c r="I127" s="199"/>
      <c r="J127" s="113"/>
      <c r="K127" s="113"/>
      <c r="L127" s="83" t="str">
        <f>IF(LEFT(D127,4)*1&gt;LEFT('General inputs'!$I$18,4)*1,"",SUMIF('Post-1996 commissioned assets'!$F$22:$F$218,$D127,'Post-1996 commissioned assets'!$P$22:$P$218))</f>
        <v/>
      </c>
      <c r="M127" s="83" t="str">
        <f>IF(L127="","",L127/(1+'General inputs'!$H$32)^C127)</f>
        <v/>
      </c>
      <c r="N127" s="83">
        <f>IF(LEFT(D127,4)*1&lt;LEFT('General inputs'!$I$18,4)*1+1,"",SUMIF('Uncommissioned assets'!$F$22:$F$495,$D127,'Uncommissioned assets'!$P$22:$P$495))</f>
        <v>0</v>
      </c>
      <c r="O127" s="83">
        <f>IF(N127="","",N127/(1+'General inputs'!$H$32)^C127)</f>
        <v>0</v>
      </c>
      <c r="P127" s="199"/>
      <c r="Q127" s="39"/>
      <c r="R127" s="83" t="str">
        <f>IF(OR(LEFT(D127,4)*1&lt;LEFT('General inputs'!$I$16,4)*1,LEFT(D127,4)*1&gt;LEFT('General inputs'!$I$16,4)+'General inputs'!$H$38-1),"",Q127/(1+'General inputs'!$H$34)^C127)</f>
        <v/>
      </c>
      <c r="S127" s="199"/>
      <c r="T127" s="39"/>
      <c r="U127" s="83" t="str">
        <f>IF(OR(LEFT(D127,4)*1&lt;LEFT('General inputs'!$I$16,4)*1,LEFT(D127,4)*1&gt;LEFT('General inputs'!$I$16,4)+'General inputs'!$H$38-1),"",T127/(1+'General inputs'!$H$34)^C127)</f>
        <v/>
      </c>
      <c r="V127" s="55"/>
    </row>
    <row r="128" spans="2:22">
      <c r="B128" s="54"/>
      <c r="C128" s="28">
        <f>IF(D128='General inputs'!$I$16,0,IF(D128&lt;'General inputs'!$I$16,C129-1,C127+1))</f>
        <v>60</v>
      </c>
      <c r="D128" s="28" t="str">
        <f t="shared" si="5"/>
        <v>2084-85</v>
      </c>
      <c r="E128" s="83" t="str">
        <f>IF(LEFT(D128,4)*1&gt;LEFT('General inputs'!$I$16,4)+'General inputs'!$H$38-1,"",'ET inputs'!D101)</f>
        <v/>
      </c>
      <c r="F128" s="83" t="str">
        <f>IF(LEFT(D128,4)*1&gt;LEFT('General inputs'!$I$16,4)+'General inputs'!$H$38-1,"",E128/(1+'General inputs'!$H$30)^C128)</f>
        <v/>
      </c>
      <c r="G128" s="83" t="str">
        <f>IF(LEFT(D128,4)*1&gt;LEFT('General inputs'!$I$16,4)+'General inputs'!$H$38-1,"",E128/(1+'General inputs'!$H$32)^C128)</f>
        <v/>
      </c>
      <c r="H128" s="83" t="str">
        <f>IF(LEFT(D128,4)*1&lt;LEFT('General inputs'!$I$16,4)*1,"",IF(LEFT(D128,4)*1&gt;LEFT('General inputs'!$I$16,4)+'General inputs'!$H$38-1,"",E128/(1+'General inputs'!$H$34)^C128))</f>
        <v/>
      </c>
      <c r="I128" s="199"/>
      <c r="J128" s="113"/>
      <c r="K128" s="113"/>
      <c r="L128" s="83" t="str">
        <f>IF(LEFT(D128,4)*1&gt;LEFT('General inputs'!$I$18,4)*1,"",SUMIF('Post-1996 commissioned assets'!$F$22:$F$218,$D128,'Post-1996 commissioned assets'!$P$22:$P$218))</f>
        <v/>
      </c>
      <c r="M128" s="83" t="str">
        <f>IF(L128="","",L128/(1+'General inputs'!$H$32)^C128)</f>
        <v/>
      </c>
      <c r="N128" s="83">
        <f>IF(LEFT(D128,4)*1&lt;LEFT('General inputs'!$I$18,4)*1+1,"",SUMIF('Uncommissioned assets'!$F$22:$F$495,$D128,'Uncommissioned assets'!$P$22:$P$495))</f>
        <v>0</v>
      </c>
      <c r="O128" s="83">
        <f>IF(N128="","",N128/(1+'General inputs'!$H$32)^C128)</f>
        <v>0</v>
      </c>
      <c r="P128" s="199"/>
      <c r="Q128" s="39"/>
      <c r="R128" s="83" t="str">
        <f>IF(OR(LEFT(D128,4)*1&lt;LEFT('General inputs'!$I$16,4)*1,LEFT(D128,4)*1&gt;LEFT('General inputs'!$I$16,4)+'General inputs'!$H$38-1),"",Q128/(1+'General inputs'!$H$34)^C128)</f>
        <v/>
      </c>
      <c r="S128" s="199"/>
      <c r="T128" s="39"/>
      <c r="U128" s="83" t="str">
        <f>IF(OR(LEFT(D128,4)*1&lt;LEFT('General inputs'!$I$16,4)*1,LEFT(D128,4)*1&gt;LEFT('General inputs'!$I$16,4)+'General inputs'!$H$38-1),"",T128/(1+'General inputs'!$H$34)^C128)</f>
        <v/>
      </c>
      <c r="V128" s="55"/>
    </row>
    <row r="129" spans="2:22">
      <c r="B129" s="54"/>
      <c r="C129" s="28">
        <f>IF(D129='General inputs'!$I$16,0,IF(D129&lt;'General inputs'!$I$16,C130-1,C128+1))</f>
        <v>61</v>
      </c>
      <c r="D129" s="28" t="str">
        <f t="shared" si="5"/>
        <v>2085-86</v>
      </c>
      <c r="E129" s="83" t="str">
        <f>IF(LEFT(D129,4)*1&gt;LEFT('General inputs'!$I$16,4)+'General inputs'!$H$38-1,"",'ET inputs'!D102)</f>
        <v/>
      </c>
      <c r="F129" s="83" t="str">
        <f>IF(LEFT(D129,4)*1&gt;LEFT('General inputs'!$I$16,4)+'General inputs'!$H$38-1,"",E129/(1+'General inputs'!$H$30)^C129)</f>
        <v/>
      </c>
      <c r="G129" s="83" t="str">
        <f>IF(LEFT(D129,4)*1&gt;LEFT('General inputs'!$I$16,4)+'General inputs'!$H$38-1,"",E129/(1+'General inputs'!$H$32)^C129)</f>
        <v/>
      </c>
      <c r="H129" s="83" t="str">
        <f>IF(LEFT(D129,4)*1&lt;LEFT('General inputs'!$I$16,4)*1,"",IF(LEFT(D129,4)*1&gt;LEFT('General inputs'!$I$16,4)+'General inputs'!$H$38-1,"",E129/(1+'General inputs'!$H$34)^C129))</f>
        <v/>
      </c>
      <c r="I129" s="199"/>
      <c r="J129" s="113"/>
      <c r="K129" s="113"/>
      <c r="L129" s="83" t="str">
        <f>IF(LEFT(D129,4)*1&gt;LEFT('General inputs'!$I$18,4)*1,"",SUMIF('Post-1996 commissioned assets'!$F$22:$F$218,$D129,'Post-1996 commissioned assets'!$P$22:$P$218))</f>
        <v/>
      </c>
      <c r="M129" s="83" t="str">
        <f>IF(L129="","",L129/(1+'General inputs'!$H$32)^C129)</f>
        <v/>
      </c>
      <c r="N129" s="83">
        <f>IF(LEFT(D129,4)*1&lt;LEFT('General inputs'!$I$18,4)*1+1,"",SUMIF('Uncommissioned assets'!$F$22:$F$495,$D129,'Uncommissioned assets'!$P$22:$P$495))</f>
        <v>0</v>
      </c>
      <c r="O129" s="83">
        <f>IF(N129="","",N129/(1+'General inputs'!$H$32)^C129)</f>
        <v>0</v>
      </c>
      <c r="P129" s="199"/>
      <c r="Q129" s="39"/>
      <c r="R129" s="83" t="str">
        <f>IF(OR(LEFT(D129,4)*1&lt;LEFT('General inputs'!$I$16,4)*1,LEFT(D129,4)*1&gt;LEFT('General inputs'!$I$16,4)+'General inputs'!$H$38-1),"",Q129/(1+'General inputs'!$H$34)^C129)</f>
        <v/>
      </c>
      <c r="S129" s="199"/>
      <c r="T129" s="39"/>
      <c r="U129" s="83" t="str">
        <f>IF(OR(LEFT(D129,4)*1&lt;LEFT('General inputs'!$I$16,4)*1,LEFT(D129,4)*1&gt;LEFT('General inputs'!$I$16,4)+'General inputs'!$H$38-1),"",T129/(1+'General inputs'!$H$34)^C129)</f>
        <v/>
      </c>
      <c r="V129" s="55"/>
    </row>
    <row r="130" spans="2:22">
      <c r="B130" s="56"/>
      <c r="C130" s="42"/>
      <c r="D130" s="42"/>
      <c r="E130" s="42"/>
      <c r="F130" s="42"/>
      <c r="G130" s="42"/>
      <c r="H130" s="42"/>
      <c r="I130" s="42"/>
      <c r="J130" s="42"/>
      <c r="K130" s="42"/>
      <c r="L130" s="42"/>
      <c r="M130" s="42"/>
      <c r="N130" s="42"/>
      <c r="O130" s="42"/>
      <c r="P130" s="42"/>
      <c r="Q130" s="42"/>
      <c r="R130" s="42"/>
      <c r="S130" s="42"/>
      <c r="T130" s="42"/>
      <c r="U130" s="42"/>
      <c r="V130" s="57"/>
    </row>
  </sheetData>
  <sheetProtection algorithmName="SHA-512" hashValue="GsIeH7KQ9ZpYFlp/lKER1mqSiZmsmn2tLz7tu0ydTJU1ePtTx/DL9GTMQZ9bzmpc9fxYhc0Tyd5G5XiCxeu4GA==" saltValue="gJGkCVkxe1ML9wmSJFLPjg==" spinCount="100000" sheet="1" objects="1" scenarios="1"/>
  <conditionalFormatting sqref="Q36">
    <cfRule type="containsText" dxfId="14" priority="5" operator="containsText" text="data">
      <formula>NOT(ISERROR(SEARCH("data",Q36)))</formula>
    </cfRule>
  </conditionalFormatting>
  <conditionalFormatting sqref="T36">
    <cfRule type="containsText" dxfId="13"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T39:U129 Q39:R129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N25" sqref="N25"/>
    </sheetView>
  </sheetViews>
  <sheetFormatPr defaultRowHeight="12"/>
  <cols>
    <col min="1" max="3" width="2.7109375" customWidth="1"/>
    <col min="4" max="6" width="15.7109375" customWidth="1"/>
    <col min="7" max="7" width="18.85546875" customWidth="1"/>
    <col min="8" max="14" width="15.7109375" customWidth="1"/>
  </cols>
  <sheetData>
    <row r="3" spans="3:13" ht="20.25">
      <c r="C3" s="58" t="s">
        <v>124</v>
      </c>
      <c r="D3" s="199"/>
      <c r="E3" s="199"/>
      <c r="F3" s="199"/>
      <c r="G3" s="199"/>
      <c r="H3" s="199"/>
      <c r="I3" s="199"/>
      <c r="J3" s="199"/>
      <c r="K3" s="199"/>
      <c r="L3" s="199"/>
      <c r="M3" s="199"/>
    </row>
    <row r="5" spans="3:13" ht="15.75">
      <c r="C5" s="2" t="s">
        <v>125</v>
      </c>
      <c r="D5" s="199"/>
      <c r="E5" s="199"/>
      <c r="F5" s="199"/>
      <c r="G5" s="199"/>
      <c r="H5" s="201" t="s">
        <v>126</v>
      </c>
      <c r="I5" s="205"/>
      <c r="J5" s="199"/>
      <c r="K5" s="199"/>
      <c r="L5" s="6" t="str">
        <f>"Do not delete - data validation for option at "&amp;ADDRESS(ROW(H5),COLUMN(H5))</f>
        <v>Do not delete - data validation for option at $H$5</v>
      </c>
      <c r="M5" s="199"/>
    </row>
    <row r="6" spans="3:13">
      <c r="C6" s="199"/>
      <c r="D6" s="199"/>
      <c r="E6" s="199"/>
      <c r="F6" s="199"/>
      <c r="G6" s="199"/>
      <c r="H6" s="199"/>
      <c r="I6" s="199"/>
      <c r="J6" s="199"/>
      <c r="K6" s="199"/>
      <c r="L6" s="199" t="s">
        <v>127</v>
      </c>
      <c r="M6" s="199" t="s">
        <v>128</v>
      </c>
    </row>
    <row r="7" spans="3:13" ht="15.75">
      <c r="C7" s="2" t="s">
        <v>129</v>
      </c>
      <c r="D7" s="199"/>
      <c r="E7" s="199"/>
      <c r="F7" s="199"/>
      <c r="G7" s="199"/>
      <c r="H7" s="201" t="s">
        <v>130</v>
      </c>
      <c r="I7" s="205"/>
      <c r="J7" s="199"/>
      <c r="K7" s="199"/>
      <c r="L7" s="43" t="s">
        <v>126</v>
      </c>
      <c r="M7" s="138">
        <v>0</v>
      </c>
    </row>
    <row r="8" spans="3:13">
      <c r="C8" s="199"/>
      <c r="D8" s="199"/>
      <c r="E8" s="199"/>
      <c r="F8" s="199"/>
      <c r="G8" s="199"/>
      <c r="H8" s="199"/>
      <c r="I8" s="199"/>
      <c r="J8" s="199"/>
      <c r="K8" s="199"/>
      <c r="L8" s="44" t="s">
        <v>131</v>
      </c>
      <c r="M8" s="139">
        <v>0.03</v>
      </c>
    </row>
    <row r="9" spans="3:13" ht="15.75">
      <c r="C9" s="2" t="s">
        <v>132</v>
      </c>
      <c r="D9" s="199"/>
      <c r="E9" s="199"/>
      <c r="F9" s="199"/>
      <c r="G9" s="199"/>
      <c r="H9" s="201" t="s">
        <v>133</v>
      </c>
      <c r="I9" s="205"/>
      <c r="J9" s="199"/>
      <c r="K9" s="199"/>
      <c r="L9" s="45" t="s">
        <v>134</v>
      </c>
      <c r="M9" s="140">
        <v>0.03</v>
      </c>
    </row>
    <row r="11" spans="3:13" ht="15.75">
      <c r="C11" s="2" t="s">
        <v>135</v>
      </c>
      <c r="D11" s="199"/>
      <c r="E11" s="199"/>
      <c r="F11" s="199"/>
      <c r="G11" s="199"/>
      <c r="H11" s="201" t="s">
        <v>136</v>
      </c>
      <c r="I11" s="205"/>
      <c r="J11" s="199"/>
      <c r="K11" s="199"/>
      <c r="L11" s="199"/>
      <c r="M11" s="199"/>
    </row>
    <row r="12" spans="3:13">
      <c r="C12" s="199"/>
      <c r="D12" s="199"/>
      <c r="E12" s="199"/>
      <c r="F12" s="199"/>
      <c r="G12" s="199"/>
      <c r="H12" s="199"/>
      <c r="I12" s="199"/>
      <c r="J12" s="199"/>
      <c r="K12" s="199"/>
      <c r="L12" s="6" t="str">
        <f>"Do not delete - data validation for options at "&amp;ADDRESS(ROW(H11),COLUMN(H11))</f>
        <v>Do not delete - data validation for options at $H$11</v>
      </c>
      <c r="M12" s="199"/>
    </row>
    <row r="13" spans="3:13">
      <c r="C13" s="199"/>
      <c r="D13" s="199"/>
      <c r="E13" s="199"/>
      <c r="F13" s="199"/>
      <c r="G13" s="199"/>
      <c r="H13" s="199"/>
      <c r="I13" s="199"/>
      <c r="J13" s="199"/>
      <c r="K13" s="199"/>
      <c r="L13" s="43" t="s">
        <v>136</v>
      </c>
      <c r="M13" s="199"/>
    </row>
    <row r="14" spans="3:13" ht="15.75">
      <c r="C14" s="2" t="s">
        <v>137</v>
      </c>
      <c r="D14" s="199"/>
      <c r="E14" s="199"/>
      <c r="F14" s="199"/>
      <c r="G14" s="199"/>
      <c r="H14" s="199"/>
      <c r="I14" s="107" t="s">
        <v>138</v>
      </c>
      <c r="J14" s="199"/>
      <c r="K14" s="199"/>
      <c r="L14" s="44" t="s">
        <v>139</v>
      </c>
      <c r="M14" s="199"/>
    </row>
    <row r="15" spans="3:13">
      <c r="C15" s="199"/>
      <c r="D15" s="199"/>
      <c r="E15" s="199"/>
      <c r="F15" s="199"/>
      <c r="G15" s="199"/>
      <c r="H15" s="199"/>
      <c r="I15" s="199"/>
      <c r="J15" s="199"/>
      <c r="K15" s="199"/>
      <c r="L15" s="45" t="s">
        <v>140</v>
      </c>
      <c r="M15" s="199"/>
    </row>
    <row r="16" spans="3:13">
      <c r="C16" s="199"/>
      <c r="D16" s="6" t="s">
        <v>141</v>
      </c>
      <c r="E16" s="199"/>
      <c r="F16" s="199"/>
      <c r="G16" s="199"/>
      <c r="H16" s="199"/>
      <c r="I16" s="49" t="s">
        <v>142</v>
      </c>
      <c r="J16" s="199"/>
      <c r="K16" s="199"/>
      <c r="L16" s="199"/>
      <c r="M16" s="199"/>
    </row>
    <row r="17" spans="3:12">
      <c r="C17" s="199"/>
      <c r="D17" s="6"/>
      <c r="E17" s="199"/>
      <c r="F17" s="199"/>
      <c r="G17" s="199"/>
      <c r="H17" s="199"/>
      <c r="I17" s="199"/>
      <c r="J17" s="199"/>
      <c r="K17" s="199"/>
      <c r="L17" s="199"/>
    </row>
    <row r="18" spans="3:12">
      <c r="C18" s="199"/>
      <c r="D18" s="6" t="s">
        <v>143</v>
      </c>
      <c r="E18" s="199"/>
      <c r="F18" s="199"/>
      <c r="G18" s="199"/>
      <c r="H18" s="184">
        <v>45473</v>
      </c>
      <c r="I18" s="67" t="str">
        <f>IF(MONTH(H18)&gt;=7,YEAR(H18)&amp;"-"&amp;RIGHT(YEAR(H18),2)+1,RIGHT(YEAR(H18),4)-1&amp;"-"&amp;RIGHT(YEAR(H18),2))</f>
        <v>2023-24</v>
      </c>
      <c r="J18" s="199"/>
      <c r="K18" s="199"/>
      <c r="L18" s="6" t="str">
        <f>"Do not delete - data validation for options at "&amp;ADDRESS(ROW(I16),COLUMN(I16))&amp;" and "&amp;ADDRESS(ROW(I40),COLUMN(I40))</f>
        <v>Do not delete - data validation for options at $I$16 and $I$40</v>
      </c>
    </row>
    <row r="19" spans="3:12">
      <c r="C19" s="199"/>
      <c r="D19" s="199"/>
      <c r="E19" s="199"/>
      <c r="F19" s="199"/>
      <c r="G19" s="199"/>
      <c r="H19" s="199"/>
      <c r="I19" s="199"/>
      <c r="J19" s="199"/>
      <c r="K19" s="199"/>
      <c r="L19" s="171" t="s">
        <v>144</v>
      </c>
    </row>
    <row r="20" spans="3:12">
      <c r="C20" s="199"/>
      <c r="D20" s="199"/>
      <c r="E20" s="199"/>
      <c r="F20" s="199"/>
      <c r="G20" s="199"/>
      <c r="H20" s="199"/>
      <c r="I20" s="199"/>
      <c r="J20" s="199"/>
      <c r="K20" s="199"/>
      <c r="L20" s="44" t="s">
        <v>145</v>
      </c>
    </row>
    <row r="21" spans="3:12">
      <c r="C21" s="199"/>
      <c r="D21" s="6" t="s">
        <v>146</v>
      </c>
      <c r="E21" s="199"/>
      <c r="F21" s="199"/>
      <c r="G21" s="199"/>
      <c r="H21" s="199"/>
      <c r="I21" s="199"/>
      <c r="J21" s="199"/>
      <c r="K21" s="199"/>
      <c r="L21" s="44" t="s">
        <v>147</v>
      </c>
    </row>
    <row r="22" spans="3:12">
      <c r="C22" s="199"/>
      <c r="D22" s="199"/>
      <c r="E22" s="199"/>
      <c r="F22" s="199"/>
      <c r="G22" s="199"/>
      <c r="H22" s="199"/>
      <c r="I22" s="199"/>
      <c r="J22" s="199"/>
      <c r="K22" s="199"/>
      <c r="L22" s="44" t="s">
        <v>148</v>
      </c>
    </row>
    <row r="23" spans="3:12">
      <c r="C23" s="199"/>
      <c r="D23" s="65" t="s">
        <v>149</v>
      </c>
      <c r="E23" s="199"/>
      <c r="F23" s="199"/>
      <c r="G23" s="199"/>
      <c r="H23" s="66">
        <v>25569</v>
      </c>
      <c r="I23" s="199"/>
      <c r="J23" s="199"/>
      <c r="K23" s="199"/>
      <c r="L23" s="44" t="s">
        <v>150</v>
      </c>
    </row>
    <row r="24" spans="3:12">
      <c r="C24" s="199"/>
      <c r="D24" s="65" t="s">
        <v>151</v>
      </c>
      <c r="E24" s="199"/>
      <c r="F24" s="199"/>
      <c r="G24" s="199"/>
      <c r="H24" s="66">
        <v>35064</v>
      </c>
      <c r="I24" s="199"/>
      <c r="J24" s="199"/>
      <c r="K24" s="199"/>
      <c r="L24" s="44" t="s">
        <v>152</v>
      </c>
    </row>
    <row r="25" spans="3:12">
      <c r="C25" s="199"/>
      <c r="D25" s="199"/>
      <c r="E25" s="199"/>
      <c r="F25" s="199"/>
      <c r="G25" s="199"/>
      <c r="H25" s="199"/>
      <c r="I25" s="199"/>
      <c r="J25" s="199"/>
      <c r="K25" s="199"/>
      <c r="L25" s="44" t="s">
        <v>142</v>
      </c>
    </row>
    <row r="26" spans="3:12">
      <c r="C26" s="199"/>
      <c r="D26" s="199"/>
      <c r="E26" s="199"/>
      <c r="F26" s="199"/>
      <c r="G26" s="199"/>
      <c r="H26" s="199"/>
      <c r="I26" s="199"/>
      <c r="J26" s="199"/>
      <c r="K26" s="199"/>
      <c r="L26" s="44" t="s">
        <v>153</v>
      </c>
    </row>
    <row r="27" spans="3:12">
      <c r="C27" s="199"/>
      <c r="D27" s="199"/>
      <c r="E27" s="199"/>
      <c r="F27" s="199"/>
      <c r="G27" s="199"/>
      <c r="H27" s="199"/>
      <c r="I27" s="199"/>
      <c r="J27" s="199"/>
      <c r="K27" s="199"/>
      <c r="L27" s="44" t="s">
        <v>154</v>
      </c>
    </row>
    <row r="28" spans="3:12" ht="15.75">
      <c r="C28" s="2" t="s">
        <v>155</v>
      </c>
      <c r="D28" s="199"/>
      <c r="E28" s="199"/>
      <c r="F28" s="199"/>
      <c r="G28" s="199"/>
      <c r="H28" s="199"/>
      <c r="I28" s="199"/>
      <c r="J28" s="199"/>
      <c r="K28" s="199"/>
      <c r="L28" s="44" t="s">
        <v>156</v>
      </c>
    </row>
    <row r="29" spans="3:12">
      <c r="C29" s="199"/>
      <c r="D29" s="199"/>
      <c r="E29" s="199"/>
      <c r="F29" s="199"/>
      <c r="G29" s="199"/>
      <c r="H29" s="199"/>
      <c r="I29" s="199"/>
      <c r="J29" s="199"/>
      <c r="K29" s="199"/>
      <c r="L29" s="44" t="s">
        <v>157</v>
      </c>
    </row>
    <row r="30" spans="3:12">
      <c r="C30" s="199"/>
      <c r="D30" s="6" t="s">
        <v>158</v>
      </c>
      <c r="E30" s="199"/>
      <c r="F30" s="199"/>
      <c r="G30" s="199"/>
      <c r="H30" s="68">
        <f>INDEX($M$7:$M$12,MATCH($H$5,$L$7:$L$12))</f>
        <v>0</v>
      </c>
      <c r="I30" s="199"/>
      <c r="J30" s="199"/>
      <c r="K30" s="199"/>
      <c r="L30" s="44" t="s">
        <v>159</v>
      </c>
    </row>
    <row r="31" spans="3:12" ht="12" customHeight="1">
      <c r="C31" s="2"/>
      <c r="D31" s="6"/>
      <c r="E31" s="199"/>
      <c r="F31" s="199"/>
      <c r="G31" s="199"/>
      <c r="H31" s="36"/>
      <c r="I31" s="199"/>
      <c r="J31" s="199"/>
      <c r="K31" s="199"/>
      <c r="L31" s="45" t="s">
        <v>160</v>
      </c>
    </row>
    <row r="32" spans="3:12" ht="12" customHeight="1">
      <c r="C32" s="2"/>
      <c r="D32" s="5" t="s">
        <v>161</v>
      </c>
      <c r="E32" s="199"/>
      <c r="F32" s="199"/>
      <c r="G32" s="199"/>
      <c r="H32" s="173">
        <v>4.2000000000000003E-2</v>
      </c>
      <c r="I32" s="199"/>
      <c r="J32" s="199"/>
      <c r="K32" s="199"/>
      <c r="L32" s="199"/>
    </row>
    <row r="33" spans="3:12" ht="12" customHeight="1">
      <c r="C33" s="199"/>
      <c r="D33" s="6"/>
      <c r="E33" s="199"/>
      <c r="F33" s="199"/>
      <c r="G33" s="199"/>
      <c r="H33" s="36"/>
      <c r="I33" s="199"/>
      <c r="J33" s="199"/>
      <c r="K33" s="199"/>
      <c r="L33" s="199"/>
    </row>
    <row r="34" spans="3:12" ht="12" customHeight="1">
      <c r="C34" s="199"/>
      <c r="D34" s="5" t="s">
        <v>162</v>
      </c>
      <c r="E34" s="199"/>
      <c r="F34" s="199"/>
      <c r="G34" s="199"/>
      <c r="H34" s="173">
        <v>4.2000000000000003E-2</v>
      </c>
      <c r="I34" s="199"/>
      <c r="J34" s="199"/>
      <c r="K34" s="199"/>
      <c r="L34" s="199"/>
    </row>
    <row r="35" spans="3:12" ht="12" customHeight="1">
      <c r="C35" s="2"/>
      <c r="D35" s="199"/>
      <c r="E35" s="199"/>
      <c r="F35" s="199"/>
      <c r="G35" s="199"/>
      <c r="H35" s="199"/>
      <c r="I35" s="199"/>
      <c r="J35" s="199"/>
      <c r="K35" s="199"/>
      <c r="L35" s="199"/>
    </row>
    <row r="36" spans="3:12" ht="12" customHeight="1">
      <c r="C36" s="2"/>
      <c r="D36" s="6" t="s">
        <v>163</v>
      </c>
      <c r="E36" s="199"/>
      <c r="F36" s="199"/>
      <c r="G36" s="199"/>
      <c r="H36" s="63">
        <v>200</v>
      </c>
      <c r="I36" s="199"/>
      <c r="J36" s="199"/>
      <c r="K36" s="199"/>
      <c r="L36" s="6" t="str">
        <f>"Do not delete - data validation for option at "&amp;ADDRESS(ROW(H42),COLUMN(H42))</f>
        <v>Do not delete - data validation for option at $H$42</v>
      </c>
    </row>
    <row r="37" spans="3:12" ht="12" customHeight="1">
      <c r="C37" s="2"/>
      <c r="D37" s="199"/>
      <c r="E37" s="199"/>
      <c r="F37" s="199"/>
      <c r="G37" s="199"/>
      <c r="H37" s="199"/>
      <c r="I37" s="199"/>
      <c r="J37" s="199"/>
      <c r="K37" s="199"/>
      <c r="L37" s="43" t="s">
        <v>164</v>
      </c>
    </row>
    <row r="38" spans="3:12" ht="12" customHeight="1">
      <c r="C38" s="2"/>
      <c r="D38" s="6" t="s">
        <v>165</v>
      </c>
      <c r="E38" s="199"/>
      <c r="F38" s="199"/>
      <c r="G38" s="199"/>
      <c r="H38" s="69">
        <v>30</v>
      </c>
      <c r="I38" s="199"/>
      <c r="J38" s="199"/>
      <c r="K38" s="199"/>
      <c r="L38" s="44" t="s">
        <v>166</v>
      </c>
    </row>
    <row r="39" spans="3:12" ht="12" customHeight="1">
      <c r="C39" s="2"/>
      <c r="D39" s="199"/>
      <c r="E39" s="199"/>
      <c r="F39" s="199"/>
      <c r="G39" s="199"/>
      <c r="H39" s="199"/>
      <c r="I39" s="199"/>
      <c r="J39" s="199"/>
      <c r="K39" s="199"/>
      <c r="L39" s="45" t="s">
        <v>167</v>
      </c>
    </row>
    <row r="40" spans="3:12" ht="12" customHeight="1">
      <c r="C40" s="199"/>
      <c r="D40" s="6" t="s">
        <v>168</v>
      </c>
      <c r="E40" s="199"/>
      <c r="F40" s="199"/>
      <c r="G40" s="199"/>
      <c r="H40" s="199"/>
      <c r="I40" s="49" t="s">
        <v>142</v>
      </c>
      <c r="J40" s="199"/>
      <c r="K40" s="199"/>
      <c r="L40" s="199"/>
    </row>
    <row r="42" spans="3:12">
      <c r="C42" s="199"/>
      <c r="D42" s="6" t="s">
        <v>169</v>
      </c>
      <c r="E42" s="199"/>
      <c r="F42" s="199"/>
      <c r="G42" s="199"/>
      <c r="H42" s="172" t="s">
        <v>164</v>
      </c>
      <c r="I42" s="199"/>
      <c r="J42" s="199"/>
      <c r="K42" s="199"/>
      <c r="L42" s="199"/>
    </row>
    <row r="43" spans="3:12">
      <c r="C43" s="199"/>
      <c r="D43" s="6"/>
      <c r="E43" s="199"/>
      <c r="F43" s="199"/>
      <c r="G43" s="199"/>
      <c r="H43" s="199"/>
      <c r="I43" s="199"/>
      <c r="J43" s="199"/>
      <c r="K43" s="199"/>
      <c r="L43" s="199"/>
    </row>
    <row r="47" spans="3:12" ht="15.75">
      <c r="C47" s="2"/>
      <c r="D47" s="199"/>
      <c r="E47" s="199"/>
      <c r="F47" s="199"/>
      <c r="G47" s="199"/>
      <c r="H47" s="199"/>
      <c r="I47" s="199"/>
      <c r="J47" s="199"/>
      <c r="K47" s="199"/>
      <c r="L47" s="199"/>
    </row>
    <row r="49" spans="6:6">
      <c r="F49" s="32"/>
    </row>
    <row r="50" spans="6:6">
      <c r="F50" s="32"/>
    </row>
  </sheetData>
  <sheetProtection algorithmName="SHA-512" hashValue="SOa0OU4P8Hd8nKRLVwVjmDHWkI5X/91H+fQz8u1wYRsZb6c1EaAa8w7LWfYBON7PWHXyAZoomqhfbchYIWg+kQ==" saltValue="aOHAP3HjNu70XMgvpELxGg==" spinCount="100000" sheet="1" objects="1" scenarios="1"/>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P219"/>
  <sheetViews>
    <sheetView showGridLines="0" zoomScaleNormal="100" workbookViewId="0">
      <pane ySplit="21" topLeftCell="A22" activePane="bottomLeft" state="frozen"/>
      <selection pane="bottomLeft" activeCell="D22" sqref="D22"/>
      <selection activeCell="A22" sqref="A22"/>
    </sheetView>
  </sheetViews>
  <sheetFormatPr defaultColWidth="28" defaultRowHeight="12"/>
  <cols>
    <col min="1" max="2" width="2.7109375" customWidth="1"/>
    <col min="3" max="3" width="15.7109375" customWidth="1"/>
    <col min="4" max="4" width="49.7109375" customWidth="1"/>
    <col min="5" max="5" width="15.7109375" customWidth="1"/>
    <col min="6" max="6" width="25.85546875" customWidth="1"/>
    <col min="7" max="7" width="2.7109375" customWidth="1"/>
    <col min="8" max="10" width="15.7109375" customWidth="1"/>
    <col min="11" max="11" width="2.7109375" customWidth="1"/>
    <col min="12" max="13" width="15.7109375" customWidth="1"/>
    <col min="14" max="14" width="18" customWidth="1"/>
    <col min="15" max="16" width="15.7109375" customWidth="1"/>
  </cols>
  <sheetData>
    <row r="1" spans="3:8">
      <c r="C1" s="199"/>
      <c r="D1" s="199"/>
      <c r="E1" s="32"/>
      <c r="F1" s="199"/>
      <c r="G1" s="199"/>
      <c r="H1" s="199"/>
    </row>
    <row r="2" spans="3:8">
      <c r="C2" s="199"/>
      <c r="D2" s="199"/>
      <c r="E2" s="32"/>
      <c r="F2" s="199"/>
      <c r="G2" s="199"/>
      <c r="H2" s="199"/>
    </row>
    <row r="3" spans="3:8" ht="20.25">
      <c r="C3" s="58" t="s">
        <v>170</v>
      </c>
      <c r="D3" s="199"/>
      <c r="E3" s="199"/>
      <c r="F3" s="199"/>
      <c r="G3" s="199"/>
      <c r="H3" s="199"/>
    </row>
    <row r="6" spans="3:8">
      <c r="C6" s="10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199"/>
      <c r="E6" s="199"/>
      <c r="F6" s="199"/>
      <c r="G6" s="199"/>
      <c r="H6" s="199"/>
    </row>
    <row r="7" spans="3:8">
      <c r="C7" s="131" t="str">
        <f ca="1">"Hyperlink to the '"&amp;MID(CELL("filename",'Asset exclusions'!A1),FIND("]",CELL("filename",'Asset exclusions'!A1))+1,255)&amp;"' worksheet:"</f>
        <v>Hyperlink to the 'Asset exclusions' worksheet:</v>
      </c>
      <c r="D7" s="199"/>
      <c r="E7" s="166" t="s">
        <v>171</v>
      </c>
      <c r="F7" s="199"/>
      <c r="G7" s="199"/>
      <c r="H7" s="199"/>
    </row>
    <row r="8" spans="3:8">
      <c r="C8" s="131"/>
      <c r="D8" s="199"/>
      <c r="E8" s="166"/>
      <c r="F8" s="199"/>
      <c r="G8" s="199"/>
      <c r="H8" s="199"/>
    </row>
    <row r="9" spans="3:8">
      <c r="C9" s="131" t="s">
        <v>172</v>
      </c>
      <c r="D9" s="199"/>
      <c r="E9" s="166"/>
      <c r="F9" s="199"/>
      <c r="G9" s="199"/>
      <c r="H9" s="199"/>
    </row>
    <row r="10" spans="3:8">
      <c r="C10" s="131" t="s">
        <v>173</v>
      </c>
      <c r="D10" s="199"/>
      <c r="E10" s="166"/>
      <c r="F10" s="199"/>
      <c r="G10" s="199"/>
      <c r="H10" s="199"/>
    </row>
    <row r="11" spans="3:8">
      <c r="C11" s="131" t="s">
        <v>174</v>
      </c>
      <c r="D11" s="199"/>
      <c r="E11" s="166"/>
      <c r="F11" s="199"/>
      <c r="G11" s="199"/>
      <c r="H11" s="199"/>
    </row>
    <row r="12" spans="3:8">
      <c r="C12" s="131" t="s">
        <v>175</v>
      </c>
      <c r="D12" s="199"/>
      <c r="E12" s="166"/>
      <c r="F12" s="199"/>
      <c r="G12" s="199"/>
      <c r="H12" s="199"/>
    </row>
    <row r="13" spans="3:8">
      <c r="C13" s="199"/>
      <c r="D13" s="199"/>
      <c r="E13" s="199"/>
      <c r="F13" s="199"/>
      <c r="G13" s="199"/>
      <c r="H13" s="32"/>
    </row>
    <row r="14" spans="3:8">
      <c r="C14" s="6" t="s">
        <v>176</v>
      </c>
      <c r="D14" s="199"/>
      <c r="E14" s="199"/>
      <c r="F14" s="199"/>
      <c r="G14" s="199"/>
      <c r="H14" s="32"/>
    </row>
    <row r="15" spans="3:8">
      <c r="C15" s="65" t="s">
        <v>177</v>
      </c>
      <c r="D15" s="199"/>
      <c r="E15" s="89">
        <f>'General inputs'!$H$23</f>
        <v>25569</v>
      </c>
      <c r="F15" s="199"/>
      <c r="G15" s="199"/>
      <c r="H15" s="32"/>
    </row>
    <row r="16" spans="3:8">
      <c r="C16" s="65" t="s">
        <v>178</v>
      </c>
      <c r="D16" s="199"/>
      <c r="E16" s="90">
        <f>'General inputs'!$H$24</f>
        <v>35064</v>
      </c>
      <c r="F16" s="199"/>
      <c r="G16" s="199"/>
      <c r="H16" s="32"/>
    </row>
    <row r="18" spans="3:16" ht="15.75">
      <c r="C18" s="2" t="s">
        <v>179</v>
      </c>
      <c r="D18" s="199"/>
      <c r="E18" s="199"/>
      <c r="F18" s="199"/>
      <c r="G18" s="199"/>
      <c r="H18" s="199"/>
      <c r="I18" s="199"/>
      <c r="J18" s="199"/>
      <c r="K18" s="199"/>
      <c r="L18" s="199"/>
      <c r="M18" s="199"/>
      <c r="N18" s="199"/>
      <c r="O18" s="199"/>
      <c r="P18" s="199"/>
    </row>
    <row r="20" spans="3:16">
      <c r="C20" s="6" t="s">
        <v>180</v>
      </c>
      <c r="D20" s="199"/>
      <c r="E20" s="199"/>
      <c r="F20" s="199"/>
      <c r="G20" s="199"/>
      <c r="H20" s="6" t="s">
        <v>181</v>
      </c>
      <c r="I20" s="199"/>
      <c r="J20" s="199"/>
      <c r="K20" s="199"/>
      <c r="L20" s="6" t="s">
        <v>182</v>
      </c>
      <c r="M20" s="6"/>
      <c r="N20" s="199"/>
      <c r="O20" s="199"/>
      <c r="P20" s="199"/>
    </row>
    <row r="21" spans="3:16" ht="48">
      <c r="C21" s="174" t="s">
        <v>183</v>
      </c>
      <c r="D21" s="24" t="s">
        <v>184</v>
      </c>
      <c r="E21" s="174" t="s">
        <v>185</v>
      </c>
      <c r="F21" s="24" t="s">
        <v>186</v>
      </c>
      <c r="G21" s="199"/>
      <c r="H21" s="174" t="s">
        <v>187</v>
      </c>
      <c r="I21" s="174" t="s">
        <v>188</v>
      </c>
      <c r="J21" s="174" t="s">
        <v>189</v>
      </c>
      <c r="K21" s="199"/>
      <c r="L21" s="174" t="s">
        <v>190</v>
      </c>
      <c r="M21" s="24" t="s">
        <v>191</v>
      </c>
      <c r="N21" s="174" t="str">
        <f>"MEERA value per unit/measure of length (B) 
("&amp;'General inputs'!$H$42&amp;" as at 1 July "&amp;LEFT('General inputs'!$I$40,4)&amp;")"</f>
        <v>MEERA value per unit/measure of length (B) 
($ as at 1 July 2024)</v>
      </c>
      <c r="O21" s="174"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6" ht="12" customHeight="1">
      <c r="C22" s="25"/>
      <c r="D22" s="114"/>
      <c r="E22" s="33"/>
      <c r="F22" s="91"/>
      <c r="G22" s="199"/>
      <c r="H22" s="117"/>
      <c r="I22" s="25"/>
      <c r="J22" s="100"/>
      <c r="K22" s="199"/>
      <c r="L22" s="25"/>
      <c r="M22" s="175"/>
      <c r="N22" s="25"/>
      <c r="O22" s="94"/>
      <c r="P22" s="96"/>
    </row>
    <row r="23" spans="3:16" ht="24" customHeight="1">
      <c r="C23" s="26"/>
      <c r="D23" s="115"/>
      <c r="E23" s="34"/>
      <c r="F23" s="92"/>
      <c r="G23" s="199"/>
      <c r="H23" s="118"/>
      <c r="I23" s="26"/>
      <c r="J23" s="101"/>
      <c r="K23" s="199"/>
      <c r="L23" s="26"/>
      <c r="M23" s="26"/>
      <c r="N23" s="141"/>
      <c r="O23" s="95"/>
      <c r="P23" s="97"/>
    </row>
    <row r="24" spans="3:16">
      <c r="C24" s="26"/>
      <c r="D24" s="115"/>
      <c r="E24" s="29"/>
      <c r="F24" s="92" t="str">
        <f t="shared" ref="F24:F86" si="0">IF(E24="","-",IF(OR(E24&lt;$E$15,E24&gt;$E$16),"ERROR - date outside of range","Date check - OK"))</f>
        <v>-</v>
      </c>
      <c r="G24" s="199"/>
      <c r="H24" s="118"/>
      <c r="I24" s="26"/>
      <c r="J24" s="101" t="str">
        <f>IFERROR(MIN('MP Calculations'!$E$29/I24,1),"-")</f>
        <v>-</v>
      </c>
      <c r="K24" s="37"/>
      <c r="L24" s="26"/>
      <c r="M24" s="26"/>
      <c r="N24" s="26"/>
      <c r="O24" s="95" t="str">
        <f t="shared" ref="O24:O86" si="1">IF(N24="","-",L24*N24)</f>
        <v>-</v>
      </c>
      <c r="P24" s="97" t="str">
        <f t="shared" ref="P24:P86" si="2">IF(O24="-","-",IF(OR(E24&lt;$E$15,E24&gt;$E$16),0,O24*J24))</f>
        <v>-</v>
      </c>
    </row>
    <row r="25" spans="3:16">
      <c r="C25" s="26"/>
      <c r="D25" s="115"/>
      <c r="E25" s="29"/>
      <c r="F25" s="92" t="str">
        <f>IF(E25="","-",IF(OR(E25&lt;$E$15,E25&gt;$E$16),"ERROR - date outside of range","Date check - OK"))</f>
        <v>-</v>
      </c>
      <c r="G25" s="199"/>
      <c r="H25" s="118"/>
      <c r="I25" s="26"/>
      <c r="J25" s="101" t="str">
        <f>IFERROR(MIN('MP Calculations'!$E$29/I25,1),"-")</f>
        <v>-</v>
      </c>
      <c r="K25" s="37"/>
      <c r="L25" s="26"/>
      <c r="M25" s="26"/>
      <c r="N25" s="26"/>
      <c r="O25" s="95" t="str">
        <f t="shared" si="1"/>
        <v>-</v>
      </c>
      <c r="P25" s="97" t="str">
        <f t="shared" si="2"/>
        <v>-</v>
      </c>
    </row>
    <row r="26" spans="3:16">
      <c r="C26" s="26"/>
      <c r="D26" s="115"/>
      <c r="E26" s="29"/>
      <c r="F26" s="92" t="str">
        <f t="shared" si="0"/>
        <v>-</v>
      </c>
      <c r="G26" s="199"/>
      <c r="H26" s="118"/>
      <c r="I26" s="26"/>
      <c r="J26" s="101" t="str">
        <f>IFERROR(MIN('MP Calculations'!$E$29/I26,1),"-")</f>
        <v>-</v>
      </c>
      <c r="K26" s="37"/>
      <c r="L26" s="26"/>
      <c r="M26" s="26"/>
      <c r="N26" s="26"/>
      <c r="O26" s="95" t="str">
        <f t="shared" si="1"/>
        <v>-</v>
      </c>
      <c r="P26" s="97" t="str">
        <f>IF(O26="-","-",IF(OR(E26&lt;$E$15,E26&gt;$E$16),0,O26*J26))</f>
        <v>-</v>
      </c>
    </row>
    <row r="27" spans="3:16">
      <c r="C27" s="26"/>
      <c r="D27" s="115"/>
      <c r="E27" s="29"/>
      <c r="F27" s="92" t="str">
        <f t="shared" si="0"/>
        <v>-</v>
      </c>
      <c r="G27" s="199"/>
      <c r="H27" s="118"/>
      <c r="I27" s="26"/>
      <c r="J27" s="101" t="str">
        <f>IFERROR(MIN('MP Calculations'!$E$29/I27,1),"-")</f>
        <v>-</v>
      </c>
      <c r="K27" s="37"/>
      <c r="L27" s="26"/>
      <c r="M27" s="26"/>
      <c r="N27" s="26"/>
      <c r="O27" s="95" t="str">
        <f t="shared" si="1"/>
        <v>-</v>
      </c>
      <c r="P27" s="97" t="str">
        <f t="shared" si="2"/>
        <v>-</v>
      </c>
    </row>
    <row r="28" spans="3:16">
      <c r="C28" s="26"/>
      <c r="D28" s="115"/>
      <c r="E28" s="29"/>
      <c r="F28" s="92" t="str">
        <f t="shared" si="0"/>
        <v>-</v>
      </c>
      <c r="G28" s="199"/>
      <c r="H28" s="118"/>
      <c r="I28" s="26"/>
      <c r="J28" s="101" t="str">
        <f>IFERROR(MIN('MP Calculations'!$E$29/I28,1),"-")</f>
        <v>-</v>
      </c>
      <c r="K28" s="37"/>
      <c r="L28" s="26"/>
      <c r="M28" s="26"/>
      <c r="N28" s="26"/>
      <c r="O28" s="95" t="str">
        <f t="shared" si="1"/>
        <v>-</v>
      </c>
      <c r="P28" s="97" t="str">
        <f t="shared" si="2"/>
        <v>-</v>
      </c>
    </row>
    <row r="29" spans="3:16">
      <c r="C29" s="26"/>
      <c r="D29" s="115"/>
      <c r="E29" s="29"/>
      <c r="F29" s="92" t="str">
        <f t="shared" si="0"/>
        <v>-</v>
      </c>
      <c r="G29" s="199"/>
      <c r="H29" s="118"/>
      <c r="I29" s="26"/>
      <c r="J29" s="101" t="str">
        <f>IFERROR(MIN('MP Calculations'!$E$29/I29,1),"-")</f>
        <v>-</v>
      </c>
      <c r="K29" s="37"/>
      <c r="L29" s="26"/>
      <c r="M29" s="26"/>
      <c r="N29" s="26"/>
      <c r="O29" s="95" t="str">
        <f t="shared" si="1"/>
        <v>-</v>
      </c>
      <c r="P29" s="97" t="str">
        <f t="shared" si="2"/>
        <v>-</v>
      </c>
    </row>
    <row r="30" spans="3:16">
      <c r="C30" s="26"/>
      <c r="D30" s="115"/>
      <c r="E30" s="29"/>
      <c r="F30" s="92" t="str">
        <f t="shared" si="0"/>
        <v>-</v>
      </c>
      <c r="G30" s="199"/>
      <c r="H30" s="118"/>
      <c r="I30" s="26"/>
      <c r="J30" s="101" t="str">
        <f>IFERROR(MIN('MP Calculations'!$E$29/I30,1),"-")</f>
        <v>-</v>
      </c>
      <c r="K30" s="37"/>
      <c r="L30" s="26"/>
      <c r="M30" s="26"/>
      <c r="N30" s="26"/>
      <c r="O30" s="95" t="str">
        <f t="shared" si="1"/>
        <v>-</v>
      </c>
      <c r="P30" s="97" t="str">
        <f t="shared" si="2"/>
        <v>-</v>
      </c>
    </row>
    <row r="31" spans="3:16">
      <c r="C31" s="26"/>
      <c r="D31" s="115"/>
      <c r="E31" s="29"/>
      <c r="F31" s="92" t="str">
        <f t="shared" si="0"/>
        <v>-</v>
      </c>
      <c r="G31" s="199"/>
      <c r="H31" s="118"/>
      <c r="I31" s="26"/>
      <c r="J31" s="101" t="str">
        <f>IFERROR(MIN('MP Calculations'!$E$29/I31,1),"-")</f>
        <v>-</v>
      </c>
      <c r="K31" s="37"/>
      <c r="L31" s="26"/>
      <c r="M31" s="26"/>
      <c r="N31" s="26"/>
      <c r="O31" s="95" t="str">
        <f t="shared" si="1"/>
        <v>-</v>
      </c>
      <c r="P31" s="97" t="str">
        <f t="shared" si="2"/>
        <v>-</v>
      </c>
    </row>
    <row r="32" spans="3:16">
      <c r="C32" s="26"/>
      <c r="D32" s="115"/>
      <c r="E32" s="29"/>
      <c r="F32" s="92" t="str">
        <f t="shared" si="0"/>
        <v>-</v>
      </c>
      <c r="G32" s="199"/>
      <c r="H32" s="118"/>
      <c r="I32" s="26"/>
      <c r="J32" s="101" t="str">
        <f>IFERROR(MIN('MP Calculations'!$E$29/I32,1),"-")</f>
        <v>-</v>
      </c>
      <c r="K32" s="37"/>
      <c r="L32" s="26"/>
      <c r="M32" s="26"/>
      <c r="N32" s="26"/>
      <c r="O32" s="95" t="str">
        <f t="shared" si="1"/>
        <v>-</v>
      </c>
      <c r="P32" s="97" t="str">
        <f t="shared" si="2"/>
        <v>-</v>
      </c>
    </row>
    <row r="33" spans="3:16">
      <c r="C33" s="26"/>
      <c r="D33" s="115"/>
      <c r="E33" s="29"/>
      <c r="F33" s="92" t="str">
        <f t="shared" si="0"/>
        <v>-</v>
      </c>
      <c r="G33" s="199"/>
      <c r="H33" s="118"/>
      <c r="I33" s="26"/>
      <c r="J33" s="101" t="str">
        <f>IFERROR(MIN('MP Calculations'!$E$29/I33,1),"-")</f>
        <v>-</v>
      </c>
      <c r="K33" s="37"/>
      <c r="L33" s="26"/>
      <c r="M33" s="26"/>
      <c r="N33" s="26"/>
      <c r="O33" s="95" t="str">
        <f t="shared" si="1"/>
        <v>-</v>
      </c>
      <c r="P33" s="97" t="str">
        <f t="shared" si="2"/>
        <v>-</v>
      </c>
    </row>
    <row r="34" spans="3:16">
      <c r="C34" s="26"/>
      <c r="D34" s="115"/>
      <c r="E34" s="29"/>
      <c r="F34" s="92" t="str">
        <f t="shared" si="0"/>
        <v>-</v>
      </c>
      <c r="G34" s="199"/>
      <c r="H34" s="118"/>
      <c r="I34" s="26"/>
      <c r="J34" s="101" t="str">
        <f>IFERROR(MIN('MP Calculations'!$E$29/I34,1),"-")</f>
        <v>-</v>
      </c>
      <c r="K34" s="37"/>
      <c r="L34" s="26"/>
      <c r="M34" s="26"/>
      <c r="N34" s="26"/>
      <c r="O34" s="95" t="str">
        <f t="shared" si="1"/>
        <v>-</v>
      </c>
      <c r="P34" s="97" t="str">
        <f t="shared" si="2"/>
        <v>-</v>
      </c>
    </row>
    <row r="35" spans="3:16">
      <c r="C35" s="26"/>
      <c r="D35" s="115"/>
      <c r="E35" s="29"/>
      <c r="F35" s="92" t="str">
        <f t="shared" si="0"/>
        <v>-</v>
      </c>
      <c r="G35" s="199"/>
      <c r="H35" s="118"/>
      <c r="I35" s="26"/>
      <c r="J35" s="101" t="str">
        <f>IFERROR(MIN('MP Calculations'!$E$29/I35,1),"-")</f>
        <v>-</v>
      </c>
      <c r="K35" s="37"/>
      <c r="L35" s="26"/>
      <c r="M35" s="26"/>
      <c r="N35" s="26"/>
      <c r="O35" s="95" t="str">
        <f t="shared" si="1"/>
        <v>-</v>
      </c>
      <c r="P35" s="97" t="str">
        <f t="shared" si="2"/>
        <v>-</v>
      </c>
    </row>
    <row r="36" spans="3:16">
      <c r="C36" s="26"/>
      <c r="D36" s="115"/>
      <c r="E36" s="29"/>
      <c r="F36" s="92" t="str">
        <f t="shared" si="0"/>
        <v>-</v>
      </c>
      <c r="G36" s="199"/>
      <c r="H36" s="118"/>
      <c r="I36" s="26"/>
      <c r="J36" s="101" t="str">
        <f>IFERROR(MIN('MP Calculations'!$E$29/I36,1),"-")</f>
        <v>-</v>
      </c>
      <c r="K36" s="37"/>
      <c r="L36" s="26"/>
      <c r="M36" s="26"/>
      <c r="N36" s="26"/>
      <c r="O36" s="95" t="str">
        <f t="shared" si="1"/>
        <v>-</v>
      </c>
      <c r="P36" s="97" t="str">
        <f t="shared" si="2"/>
        <v>-</v>
      </c>
    </row>
    <row r="37" spans="3:16">
      <c r="C37" s="26"/>
      <c r="D37" s="115"/>
      <c r="E37" s="29"/>
      <c r="F37" s="92" t="str">
        <f t="shared" si="0"/>
        <v>-</v>
      </c>
      <c r="G37" s="199"/>
      <c r="H37" s="118"/>
      <c r="I37" s="26"/>
      <c r="J37" s="101" t="str">
        <f>IFERROR(MIN('MP Calculations'!$E$29/I37,1),"-")</f>
        <v>-</v>
      </c>
      <c r="K37" s="37"/>
      <c r="L37" s="26"/>
      <c r="M37" s="26"/>
      <c r="N37" s="26"/>
      <c r="O37" s="95" t="str">
        <f t="shared" si="1"/>
        <v>-</v>
      </c>
      <c r="P37" s="97" t="str">
        <f t="shared" si="2"/>
        <v>-</v>
      </c>
    </row>
    <row r="38" spans="3:16">
      <c r="C38" s="26"/>
      <c r="D38" s="115"/>
      <c r="E38" s="29"/>
      <c r="F38" s="92" t="str">
        <f t="shared" si="0"/>
        <v>-</v>
      </c>
      <c r="G38" s="199"/>
      <c r="H38" s="118"/>
      <c r="I38" s="26"/>
      <c r="J38" s="101" t="str">
        <f>IFERROR(MIN('MP Calculations'!$E$29/I38,1),"-")</f>
        <v>-</v>
      </c>
      <c r="K38" s="37"/>
      <c r="L38" s="26"/>
      <c r="M38" s="26"/>
      <c r="N38" s="26"/>
      <c r="O38" s="95" t="str">
        <f t="shared" si="1"/>
        <v>-</v>
      </c>
      <c r="P38" s="97" t="str">
        <f t="shared" si="2"/>
        <v>-</v>
      </c>
    </row>
    <row r="39" spans="3:16">
      <c r="C39" s="26"/>
      <c r="D39" s="115"/>
      <c r="E39" s="29"/>
      <c r="F39" s="92" t="str">
        <f t="shared" si="0"/>
        <v>-</v>
      </c>
      <c r="G39" s="199"/>
      <c r="H39" s="118"/>
      <c r="I39" s="26"/>
      <c r="J39" s="101" t="str">
        <f>IFERROR(MIN('MP Calculations'!$E$29/I39,1),"-")</f>
        <v>-</v>
      </c>
      <c r="K39" s="37"/>
      <c r="L39" s="26"/>
      <c r="M39" s="26"/>
      <c r="N39" s="26"/>
      <c r="O39" s="95" t="str">
        <f t="shared" si="1"/>
        <v>-</v>
      </c>
      <c r="P39" s="97" t="str">
        <f t="shared" si="2"/>
        <v>-</v>
      </c>
    </row>
    <row r="40" spans="3:16">
      <c r="C40" s="26"/>
      <c r="D40" s="115"/>
      <c r="E40" s="29"/>
      <c r="F40" s="92" t="str">
        <f t="shared" si="0"/>
        <v>-</v>
      </c>
      <c r="G40" s="199"/>
      <c r="H40" s="118"/>
      <c r="I40" s="26"/>
      <c r="J40" s="101" t="str">
        <f>IFERROR(MIN('MP Calculations'!$E$29/I40,1),"-")</f>
        <v>-</v>
      </c>
      <c r="K40" s="37"/>
      <c r="L40" s="26"/>
      <c r="M40" s="26"/>
      <c r="N40" s="26"/>
      <c r="O40" s="95" t="str">
        <f t="shared" si="1"/>
        <v>-</v>
      </c>
      <c r="P40" s="97" t="str">
        <f t="shared" si="2"/>
        <v>-</v>
      </c>
    </row>
    <row r="41" spans="3:16">
      <c r="C41" s="26"/>
      <c r="D41" s="115"/>
      <c r="E41" s="29"/>
      <c r="F41" s="92" t="str">
        <f t="shared" si="0"/>
        <v>-</v>
      </c>
      <c r="G41" s="199"/>
      <c r="H41" s="118"/>
      <c r="I41" s="26"/>
      <c r="J41" s="101" t="str">
        <f>IFERROR(MIN('MP Calculations'!$E$29/I41,1),"-")</f>
        <v>-</v>
      </c>
      <c r="K41" s="37"/>
      <c r="L41" s="26"/>
      <c r="M41" s="26"/>
      <c r="N41" s="26"/>
      <c r="O41" s="95" t="str">
        <f t="shared" si="1"/>
        <v>-</v>
      </c>
      <c r="P41" s="97" t="str">
        <f t="shared" si="2"/>
        <v>-</v>
      </c>
    </row>
    <row r="42" spans="3:16">
      <c r="C42" s="26"/>
      <c r="D42" s="115"/>
      <c r="E42" s="29"/>
      <c r="F42" s="92" t="str">
        <f t="shared" si="0"/>
        <v>-</v>
      </c>
      <c r="G42" s="199"/>
      <c r="H42" s="118"/>
      <c r="I42" s="26"/>
      <c r="J42" s="101" t="str">
        <f>IFERROR(MIN('MP Calculations'!$E$29/I42,1),"-")</f>
        <v>-</v>
      </c>
      <c r="K42" s="37"/>
      <c r="L42" s="26"/>
      <c r="M42" s="26"/>
      <c r="N42" s="26"/>
      <c r="O42" s="95" t="str">
        <f t="shared" si="1"/>
        <v>-</v>
      </c>
      <c r="P42" s="97" t="str">
        <f t="shared" si="2"/>
        <v>-</v>
      </c>
    </row>
    <row r="43" spans="3:16">
      <c r="C43" s="26"/>
      <c r="D43" s="115"/>
      <c r="E43" s="29"/>
      <c r="F43" s="92" t="str">
        <f t="shared" si="0"/>
        <v>-</v>
      </c>
      <c r="G43" s="199"/>
      <c r="H43" s="118"/>
      <c r="I43" s="26"/>
      <c r="J43" s="101" t="str">
        <f>IFERROR(MIN('MP Calculations'!$E$29/I43,1),"-")</f>
        <v>-</v>
      </c>
      <c r="K43" s="37"/>
      <c r="L43" s="26"/>
      <c r="M43" s="26"/>
      <c r="N43" s="26"/>
      <c r="O43" s="95" t="str">
        <f t="shared" si="1"/>
        <v>-</v>
      </c>
      <c r="P43" s="97" t="str">
        <f t="shared" si="2"/>
        <v>-</v>
      </c>
    </row>
    <row r="44" spans="3:16">
      <c r="C44" s="26"/>
      <c r="D44" s="115"/>
      <c r="E44" s="29"/>
      <c r="F44" s="92" t="str">
        <f t="shared" si="0"/>
        <v>-</v>
      </c>
      <c r="G44" s="199"/>
      <c r="H44" s="118"/>
      <c r="I44" s="26"/>
      <c r="J44" s="101" t="str">
        <f>IFERROR(MIN('MP Calculations'!$E$29/I44,1),"-")</f>
        <v>-</v>
      </c>
      <c r="K44" s="37"/>
      <c r="L44" s="26"/>
      <c r="M44" s="26"/>
      <c r="N44" s="26"/>
      <c r="O44" s="95" t="str">
        <f t="shared" si="1"/>
        <v>-</v>
      </c>
      <c r="P44" s="97" t="str">
        <f t="shared" si="2"/>
        <v>-</v>
      </c>
    </row>
    <row r="45" spans="3:16">
      <c r="C45" s="26"/>
      <c r="D45" s="115"/>
      <c r="E45" s="29"/>
      <c r="F45" s="92" t="str">
        <f t="shared" si="0"/>
        <v>-</v>
      </c>
      <c r="G45" s="199"/>
      <c r="H45" s="118"/>
      <c r="I45" s="26"/>
      <c r="J45" s="101" t="str">
        <f>IFERROR(MIN('MP Calculations'!$E$29/I45,1),"-")</f>
        <v>-</v>
      </c>
      <c r="K45" s="37"/>
      <c r="L45" s="26"/>
      <c r="M45" s="26"/>
      <c r="N45" s="26"/>
      <c r="O45" s="95" t="str">
        <f t="shared" si="1"/>
        <v>-</v>
      </c>
      <c r="P45" s="97" t="str">
        <f t="shared" si="2"/>
        <v>-</v>
      </c>
    </row>
    <row r="46" spans="3:16">
      <c r="C46" s="26"/>
      <c r="D46" s="115"/>
      <c r="E46" s="29"/>
      <c r="F46" s="92" t="str">
        <f t="shared" si="0"/>
        <v>-</v>
      </c>
      <c r="G46" s="199"/>
      <c r="H46" s="118"/>
      <c r="I46" s="26"/>
      <c r="J46" s="101" t="str">
        <f>IFERROR(MIN('MP Calculations'!$E$29/I46,1),"-")</f>
        <v>-</v>
      </c>
      <c r="K46" s="37"/>
      <c r="L46" s="26"/>
      <c r="M46" s="26"/>
      <c r="N46" s="26"/>
      <c r="O46" s="95" t="str">
        <f t="shared" si="1"/>
        <v>-</v>
      </c>
      <c r="P46" s="97" t="str">
        <f t="shared" si="2"/>
        <v>-</v>
      </c>
    </row>
    <row r="47" spans="3:16">
      <c r="C47" s="26"/>
      <c r="D47" s="115"/>
      <c r="E47" s="29"/>
      <c r="F47" s="92" t="str">
        <f t="shared" si="0"/>
        <v>-</v>
      </c>
      <c r="G47" s="199"/>
      <c r="H47" s="118"/>
      <c r="I47" s="26"/>
      <c r="J47" s="101" t="str">
        <f>IFERROR(MIN('MP Calculations'!$E$29/I47,1),"-")</f>
        <v>-</v>
      </c>
      <c r="K47" s="37"/>
      <c r="L47" s="26"/>
      <c r="M47" s="26"/>
      <c r="N47" s="26"/>
      <c r="O47" s="95" t="str">
        <f t="shared" si="1"/>
        <v>-</v>
      </c>
      <c r="P47" s="97" t="str">
        <f t="shared" si="2"/>
        <v>-</v>
      </c>
    </row>
    <row r="48" spans="3:16">
      <c r="C48" s="26"/>
      <c r="D48" s="115"/>
      <c r="E48" s="29"/>
      <c r="F48" s="92" t="str">
        <f t="shared" si="0"/>
        <v>-</v>
      </c>
      <c r="G48" s="199"/>
      <c r="H48" s="118"/>
      <c r="I48" s="26"/>
      <c r="J48" s="101" t="str">
        <f>IFERROR(MIN('MP Calculations'!$E$29/I48,1),"-")</f>
        <v>-</v>
      </c>
      <c r="K48" s="37"/>
      <c r="L48" s="26"/>
      <c r="M48" s="26"/>
      <c r="N48" s="26"/>
      <c r="O48" s="95" t="str">
        <f t="shared" si="1"/>
        <v>-</v>
      </c>
      <c r="P48" s="97" t="str">
        <f t="shared" si="2"/>
        <v>-</v>
      </c>
    </row>
    <row r="49" spans="3:16">
      <c r="C49" s="26"/>
      <c r="D49" s="115"/>
      <c r="E49" s="29"/>
      <c r="F49" s="92" t="str">
        <f t="shared" si="0"/>
        <v>-</v>
      </c>
      <c r="G49" s="199"/>
      <c r="H49" s="118"/>
      <c r="I49" s="26"/>
      <c r="J49" s="101" t="str">
        <f>IFERROR(MIN('MP Calculations'!$E$29/I49,1),"-")</f>
        <v>-</v>
      </c>
      <c r="K49" s="37"/>
      <c r="L49" s="26"/>
      <c r="M49" s="26"/>
      <c r="N49" s="26"/>
      <c r="O49" s="95" t="str">
        <f t="shared" si="1"/>
        <v>-</v>
      </c>
      <c r="P49" s="97" t="str">
        <f t="shared" si="2"/>
        <v>-</v>
      </c>
    </row>
    <row r="50" spans="3:16">
      <c r="C50" s="26"/>
      <c r="D50" s="115"/>
      <c r="E50" s="29"/>
      <c r="F50" s="92" t="str">
        <f t="shared" si="0"/>
        <v>-</v>
      </c>
      <c r="G50" s="199"/>
      <c r="H50" s="118"/>
      <c r="I50" s="26"/>
      <c r="J50" s="101" t="str">
        <f>IFERROR(MIN('MP Calculations'!$E$29/I50,1),"-")</f>
        <v>-</v>
      </c>
      <c r="K50" s="37"/>
      <c r="L50" s="26"/>
      <c r="M50" s="26"/>
      <c r="N50" s="26"/>
      <c r="O50" s="95" t="str">
        <f t="shared" si="1"/>
        <v>-</v>
      </c>
      <c r="P50" s="97" t="str">
        <f t="shared" si="2"/>
        <v>-</v>
      </c>
    </row>
    <row r="51" spans="3:16">
      <c r="C51" s="26"/>
      <c r="D51" s="115"/>
      <c r="E51" s="29"/>
      <c r="F51" s="92" t="str">
        <f t="shared" si="0"/>
        <v>-</v>
      </c>
      <c r="G51" s="199"/>
      <c r="H51" s="118"/>
      <c r="I51" s="26"/>
      <c r="J51" s="101" t="str">
        <f>IFERROR(MIN('MP Calculations'!$E$29/I51,1),"-")</f>
        <v>-</v>
      </c>
      <c r="K51" s="37"/>
      <c r="L51" s="26"/>
      <c r="M51" s="26"/>
      <c r="N51" s="26"/>
      <c r="O51" s="95" t="str">
        <f t="shared" si="1"/>
        <v>-</v>
      </c>
      <c r="P51" s="97" t="str">
        <f t="shared" si="2"/>
        <v>-</v>
      </c>
    </row>
    <row r="52" spans="3:16">
      <c r="C52" s="26"/>
      <c r="D52" s="115"/>
      <c r="E52" s="29"/>
      <c r="F52" s="92" t="str">
        <f t="shared" si="0"/>
        <v>-</v>
      </c>
      <c r="G52" s="199"/>
      <c r="H52" s="118"/>
      <c r="I52" s="26"/>
      <c r="J52" s="101" t="str">
        <f>IFERROR(MIN('MP Calculations'!$E$29/I52,1),"-")</f>
        <v>-</v>
      </c>
      <c r="K52" s="37"/>
      <c r="L52" s="26"/>
      <c r="M52" s="26"/>
      <c r="N52" s="26"/>
      <c r="O52" s="95" t="str">
        <f t="shared" si="1"/>
        <v>-</v>
      </c>
      <c r="P52" s="97" t="str">
        <f t="shared" si="2"/>
        <v>-</v>
      </c>
    </row>
    <row r="53" spans="3:16">
      <c r="C53" s="26"/>
      <c r="D53" s="115"/>
      <c r="E53" s="29"/>
      <c r="F53" s="92" t="str">
        <f t="shared" si="0"/>
        <v>-</v>
      </c>
      <c r="G53" s="199"/>
      <c r="H53" s="118"/>
      <c r="I53" s="26"/>
      <c r="J53" s="101" t="str">
        <f>IFERROR(MIN('MP Calculations'!$E$29/I53,1),"-")</f>
        <v>-</v>
      </c>
      <c r="K53" s="37"/>
      <c r="L53" s="26"/>
      <c r="M53" s="26"/>
      <c r="N53" s="26"/>
      <c r="O53" s="95" t="str">
        <f t="shared" si="1"/>
        <v>-</v>
      </c>
      <c r="P53" s="97" t="str">
        <f t="shared" si="2"/>
        <v>-</v>
      </c>
    </row>
    <row r="54" spans="3:16">
      <c r="C54" s="26"/>
      <c r="D54" s="115"/>
      <c r="E54" s="29"/>
      <c r="F54" s="92" t="str">
        <f t="shared" si="0"/>
        <v>-</v>
      </c>
      <c r="G54" s="199"/>
      <c r="H54" s="118"/>
      <c r="I54" s="26"/>
      <c r="J54" s="101" t="str">
        <f>IFERROR(MIN('MP Calculations'!$E$29/I54,1),"-")</f>
        <v>-</v>
      </c>
      <c r="K54" s="37"/>
      <c r="L54" s="26"/>
      <c r="M54" s="26"/>
      <c r="N54" s="26"/>
      <c r="O54" s="95" t="str">
        <f t="shared" si="1"/>
        <v>-</v>
      </c>
      <c r="P54" s="97" t="str">
        <f t="shared" si="2"/>
        <v>-</v>
      </c>
    </row>
    <row r="55" spans="3:16">
      <c r="C55" s="26"/>
      <c r="D55" s="115"/>
      <c r="E55" s="29"/>
      <c r="F55" s="92" t="str">
        <f t="shared" si="0"/>
        <v>-</v>
      </c>
      <c r="G55" s="199"/>
      <c r="H55" s="118"/>
      <c r="I55" s="26"/>
      <c r="J55" s="101" t="str">
        <f>IFERROR(MIN('MP Calculations'!$E$29/I55,1),"-")</f>
        <v>-</v>
      </c>
      <c r="K55" s="37"/>
      <c r="L55" s="26"/>
      <c r="M55" s="26"/>
      <c r="N55" s="26"/>
      <c r="O55" s="95" t="str">
        <f t="shared" si="1"/>
        <v>-</v>
      </c>
      <c r="P55" s="97" t="str">
        <f t="shared" si="2"/>
        <v>-</v>
      </c>
    </row>
    <row r="56" spans="3:16">
      <c r="C56" s="26"/>
      <c r="D56" s="115"/>
      <c r="E56" s="29"/>
      <c r="F56" s="92" t="str">
        <f t="shared" si="0"/>
        <v>-</v>
      </c>
      <c r="G56" s="199"/>
      <c r="H56" s="118"/>
      <c r="I56" s="26"/>
      <c r="J56" s="101" t="str">
        <f>IFERROR(MIN('MP Calculations'!$E$29/I56,1),"-")</f>
        <v>-</v>
      </c>
      <c r="K56" s="37"/>
      <c r="L56" s="26"/>
      <c r="M56" s="26"/>
      <c r="N56" s="26"/>
      <c r="O56" s="95" t="str">
        <f t="shared" si="1"/>
        <v>-</v>
      </c>
      <c r="P56" s="97" t="str">
        <f t="shared" si="2"/>
        <v>-</v>
      </c>
    </row>
    <row r="57" spans="3:16">
      <c r="C57" s="26"/>
      <c r="D57" s="115"/>
      <c r="E57" s="29"/>
      <c r="F57" s="92" t="str">
        <f t="shared" si="0"/>
        <v>-</v>
      </c>
      <c r="G57" s="199"/>
      <c r="H57" s="118"/>
      <c r="I57" s="26"/>
      <c r="J57" s="101" t="str">
        <f>IFERROR(MIN('MP Calculations'!$E$29/I57,1),"-")</f>
        <v>-</v>
      </c>
      <c r="K57" s="37"/>
      <c r="L57" s="26"/>
      <c r="M57" s="26"/>
      <c r="N57" s="26"/>
      <c r="O57" s="95" t="str">
        <f t="shared" si="1"/>
        <v>-</v>
      </c>
      <c r="P57" s="97" t="str">
        <f t="shared" si="2"/>
        <v>-</v>
      </c>
    </row>
    <row r="58" spans="3:16">
      <c r="C58" s="26"/>
      <c r="D58" s="115"/>
      <c r="E58" s="29"/>
      <c r="F58" s="92" t="str">
        <f t="shared" si="0"/>
        <v>-</v>
      </c>
      <c r="G58" s="199"/>
      <c r="H58" s="118"/>
      <c r="I58" s="26"/>
      <c r="J58" s="101" t="str">
        <f>IFERROR(MIN('MP Calculations'!$E$29/I58,1),"-")</f>
        <v>-</v>
      </c>
      <c r="K58" s="37"/>
      <c r="L58" s="26"/>
      <c r="M58" s="26"/>
      <c r="N58" s="26"/>
      <c r="O58" s="95" t="str">
        <f t="shared" si="1"/>
        <v>-</v>
      </c>
      <c r="P58" s="97" t="str">
        <f t="shared" si="2"/>
        <v>-</v>
      </c>
    </row>
    <row r="59" spans="3:16">
      <c r="C59" s="26"/>
      <c r="D59" s="115"/>
      <c r="E59" s="29"/>
      <c r="F59" s="92" t="str">
        <f t="shared" si="0"/>
        <v>-</v>
      </c>
      <c r="G59" s="199"/>
      <c r="H59" s="118"/>
      <c r="I59" s="26"/>
      <c r="J59" s="101" t="str">
        <f>IFERROR(MIN('MP Calculations'!$E$29/I59,1),"-")</f>
        <v>-</v>
      </c>
      <c r="K59" s="37"/>
      <c r="L59" s="26"/>
      <c r="M59" s="26"/>
      <c r="N59" s="26"/>
      <c r="O59" s="95" t="str">
        <f t="shared" si="1"/>
        <v>-</v>
      </c>
      <c r="P59" s="97" t="str">
        <f t="shared" si="2"/>
        <v>-</v>
      </c>
    </row>
    <row r="60" spans="3:16">
      <c r="C60" s="26"/>
      <c r="D60" s="115"/>
      <c r="E60" s="29"/>
      <c r="F60" s="92" t="str">
        <f t="shared" si="0"/>
        <v>-</v>
      </c>
      <c r="G60" s="199"/>
      <c r="H60" s="118"/>
      <c r="I60" s="26"/>
      <c r="J60" s="101" t="str">
        <f>IFERROR(MIN('MP Calculations'!$E$29/I60,1),"-")</f>
        <v>-</v>
      </c>
      <c r="K60" s="37"/>
      <c r="L60" s="26"/>
      <c r="M60" s="26"/>
      <c r="N60" s="26"/>
      <c r="O60" s="95" t="str">
        <f t="shared" si="1"/>
        <v>-</v>
      </c>
      <c r="P60" s="97" t="str">
        <f t="shared" si="2"/>
        <v>-</v>
      </c>
    </row>
    <row r="61" spans="3:16">
      <c r="C61" s="26"/>
      <c r="D61" s="115"/>
      <c r="E61" s="29"/>
      <c r="F61" s="92" t="str">
        <f t="shared" si="0"/>
        <v>-</v>
      </c>
      <c r="G61" s="199"/>
      <c r="H61" s="118"/>
      <c r="I61" s="26"/>
      <c r="J61" s="101" t="str">
        <f>IFERROR(MIN('MP Calculations'!$E$29/I61,1),"-")</f>
        <v>-</v>
      </c>
      <c r="K61" s="37"/>
      <c r="L61" s="26"/>
      <c r="M61" s="26"/>
      <c r="N61" s="26"/>
      <c r="O61" s="95" t="str">
        <f t="shared" si="1"/>
        <v>-</v>
      </c>
      <c r="P61" s="97" t="str">
        <f t="shared" si="2"/>
        <v>-</v>
      </c>
    </row>
    <row r="62" spans="3:16">
      <c r="C62" s="26"/>
      <c r="D62" s="115"/>
      <c r="E62" s="29"/>
      <c r="F62" s="92" t="str">
        <f t="shared" si="0"/>
        <v>-</v>
      </c>
      <c r="G62" s="199"/>
      <c r="H62" s="118"/>
      <c r="I62" s="26"/>
      <c r="J62" s="101" t="str">
        <f>IFERROR(MIN('MP Calculations'!$E$29/I62,1),"-")</f>
        <v>-</v>
      </c>
      <c r="K62" s="37"/>
      <c r="L62" s="26"/>
      <c r="M62" s="26"/>
      <c r="N62" s="26"/>
      <c r="O62" s="95" t="str">
        <f t="shared" si="1"/>
        <v>-</v>
      </c>
      <c r="P62" s="97" t="str">
        <f t="shared" si="2"/>
        <v>-</v>
      </c>
    </row>
    <row r="63" spans="3:16">
      <c r="C63" s="26"/>
      <c r="D63" s="115"/>
      <c r="E63" s="29"/>
      <c r="F63" s="92" t="str">
        <f t="shared" si="0"/>
        <v>-</v>
      </c>
      <c r="G63" s="199"/>
      <c r="H63" s="118"/>
      <c r="I63" s="26"/>
      <c r="J63" s="101" t="str">
        <f>IFERROR(MIN('MP Calculations'!$E$29/I63,1),"-")</f>
        <v>-</v>
      </c>
      <c r="K63" s="37"/>
      <c r="L63" s="26"/>
      <c r="M63" s="26"/>
      <c r="N63" s="26"/>
      <c r="O63" s="95" t="str">
        <f t="shared" si="1"/>
        <v>-</v>
      </c>
      <c r="P63" s="97" t="str">
        <f t="shared" si="2"/>
        <v>-</v>
      </c>
    </row>
    <row r="64" spans="3:16">
      <c r="C64" s="26"/>
      <c r="D64" s="115"/>
      <c r="E64" s="29"/>
      <c r="F64" s="92" t="str">
        <f t="shared" si="0"/>
        <v>-</v>
      </c>
      <c r="G64" s="199"/>
      <c r="H64" s="118"/>
      <c r="I64" s="26"/>
      <c r="J64" s="101" t="str">
        <f>IFERROR(MIN('MP Calculations'!$E$29/I64,1),"-")</f>
        <v>-</v>
      </c>
      <c r="K64" s="37"/>
      <c r="L64" s="26"/>
      <c r="M64" s="26"/>
      <c r="N64" s="26"/>
      <c r="O64" s="95" t="str">
        <f t="shared" si="1"/>
        <v>-</v>
      </c>
      <c r="P64" s="97" t="str">
        <f t="shared" si="2"/>
        <v>-</v>
      </c>
    </row>
    <row r="65" spans="3:16">
      <c r="C65" s="26"/>
      <c r="D65" s="115"/>
      <c r="E65" s="29"/>
      <c r="F65" s="92" t="str">
        <f t="shared" si="0"/>
        <v>-</v>
      </c>
      <c r="G65" s="199"/>
      <c r="H65" s="118"/>
      <c r="I65" s="26"/>
      <c r="J65" s="101" t="str">
        <f>IFERROR(MIN('MP Calculations'!$E$29/I65,1),"-")</f>
        <v>-</v>
      </c>
      <c r="K65" s="37"/>
      <c r="L65" s="26"/>
      <c r="M65" s="26"/>
      <c r="N65" s="26"/>
      <c r="O65" s="95" t="str">
        <f t="shared" si="1"/>
        <v>-</v>
      </c>
      <c r="P65" s="97" t="str">
        <f t="shared" si="2"/>
        <v>-</v>
      </c>
    </row>
    <row r="66" spans="3:16">
      <c r="C66" s="26"/>
      <c r="D66" s="115"/>
      <c r="E66" s="29"/>
      <c r="F66" s="92" t="str">
        <f t="shared" si="0"/>
        <v>-</v>
      </c>
      <c r="G66" s="199"/>
      <c r="H66" s="118"/>
      <c r="I66" s="26"/>
      <c r="J66" s="101" t="str">
        <f>IFERROR(MIN('MP Calculations'!$E$29/I66,1),"-")</f>
        <v>-</v>
      </c>
      <c r="K66" s="37"/>
      <c r="L66" s="26"/>
      <c r="M66" s="26"/>
      <c r="N66" s="26"/>
      <c r="O66" s="95" t="str">
        <f t="shared" si="1"/>
        <v>-</v>
      </c>
      <c r="P66" s="97" t="str">
        <f t="shared" si="2"/>
        <v>-</v>
      </c>
    </row>
    <row r="67" spans="3:16">
      <c r="C67" s="26"/>
      <c r="D67" s="115"/>
      <c r="E67" s="29"/>
      <c r="F67" s="92" t="str">
        <f t="shared" si="0"/>
        <v>-</v>
      </c>
      <c r="G67" s="199"/>
      <c r="H67" s="118"/>
      <c r="I67" s="26"/>
      <c r="J67" s="101" t="str">
        <f>IFERROR(MIN('MP Calculations'!$E$29/I67,1),"-")</f>
        <v>-</v>
      </c>
      <c r="K67" s="37"/>
      <c r="L67" s="26"/>
      <c r="M67" s="26"/>
      <c r="N67" s="26"/>
      <c r="O67" s="95" t="str">
        <f t="shared" si="1"/>
        <v>-</v>
      </c>
      <c r="P67" s="97" t="str">
        <f t="shared" si="2"/>
        <v>-</v>
      </c>
    </row>
    <row r="68" spans="3:16">
      <c r="C68" s="26"/>
      <c r="D68" s="115"/>
      <c r="E68" s="29"/>
      <c r="F68" s="92" t="str">
        <f t="shared" si="0"/>
        <v>-</v>
      </c>
      <c r="G68" s="199"/>
      <c r="H68" s="118"/>
      <c r="I68" s="26"/>
      <c r="J68" s="101" t="str">
        <f>IFERROR(MIN('MP Calculations'!$E$29/I68,1),"-")</f>
        <v>-</v>
      </c>
      <c r="K68" s="37"/>
      <c r="L68" s="26"/>
      <c r="M68" s="26"/>
      <c r="N68" s="26"/>
      <c r="O68" s="95" t="str">
        <f t="shared" si="1"/>
        <v>-</v>
      </c>
      <c r="P68" s="97" t="str">
        <f t="shared" si="2"/>
        <v>-</v>
      </c>
    </row>
    <row r="69" spans="3:16">
      <c r="C69" s="26"/>
      <c r="D69" s="115"/>
      <c r="E69" s="29"/>
      <c r="F69" s="92" t="str">
        <f t="shared" si="0"/>
        <v>-</v>
      </c>
      <c r="G69" s="199"/>
      <c r="H69" s="118"/>
      <c r="I69" s="26"/>
      <c r="J69" s="101" t="str">
        <f>IFERROR(MIN('MP Calculations'!$E$29/I69,1),"-")</f>
        <v>-</v>
      </c>
      <c r="K69" s="37"/>
      <c r="L69" s="26"/>
      <c r="M69" s="26"/>
      <c r="N69" s="26"/>
      <c r="O69" s="95" t="str">
        <f t="shared" si="1"/>
        <v>-</v>
      </c>
      <c r="P69" s="97" t="str">
        <f t="shared" si="2"/>
        <v>-</v>
      </c>
    </row>
    <row r="70" spans="3:16">
      <c r="C70" s="26"/>
      <c r="D70" s="115"/>
      <c r="E70" s="29"/>
      <c r="F70" s="92" t="str">
        <f t="shared" si="0"/>
        <v>-</v>
      </c>
      <c r="G70" s="199"/>
      <c r="H70" s="118"/>
      <c r="I70" s="26"/>
      <c r="J70" s="101" t="str">
        <f>IFERROR(MIN('MP Calculations'!$E$29/I70,1),"-")</f>
        <v>-</v>
      </c>
      <c r="K70" s="37"/>
      <c r="L70" s="26"/>
      <c r="M70" s="26"/>
      <c r="N70" s="26"/>
      <c r="O70" s="95" t="str">
        <f t="shared" si="1"/>
        <v>-</v>
      </c>
      <c r="P70" s="97" t="str">
        <f t="shared" si="2"/>
        <v>-</v>
      </c>
    </row>
    <row r="71" spans="3:16">
      <c r="C71" s="26"/>
      <c r="D71" s="115"/>
      <c r="E71" s="29"/>
      <c r="F71" s="92" t="str">
        <f t="shared" si="0"/>
        <v>-</v>
      </c>
      <c r="G71" s="199"/>
      <c r="H71" s="118"/>
      <c r="I71" s="26"/>
      <c r="J71" s="101" t="str">
        <f>IFERROR(MIN('MP Calculations'!$E$29/I71,1),"-")</f>
        <v>-</v>
      </c>
      <c r="K71" s="37"/>
      <c r="L71" s="26"/>
      <c r="M71" s="26"/>
      <c r="N71" s="26"/>
      <c r="O71" s="95" t="str">
        <f t="shared" si="1"/>
        <v>-</v>
      </c>
      <c r="P71" s="97" t="str">
        <f t="shared" si="2"/>
        <v>-</v>
      </c>
    </row>
    <row r="72" spans="3:16">
      <c r="C72" s="26"/>
      <c r="D72" s="115"/>
      <c r="E72" s="29"/>
      <c r="F72" s="92" t="str">
        <f t="shared" si="0"/>
        <v>-</v>
      </c>
      <c r="G72" s="199"/>
      <c r="H72" s="118"/>
      <c r="I72" s="26"/>
      <c r="J72" s="101" t="str">
        <f>IFERROR(MIN('MP Calculations'!$E$29/I72,1),"-")</f>
        <v>-</v>
      </c>
      <c r="K72" s="37"/>
      <c r="L72" s="26"/>
      <c r="M72" s="26"/>
      <c r="N72" s="26"/>
      <c r="O72" s="95" t="str">
        <f t="shared" si="1"/>
        <v>-</v>
      </c>
      <c r="P72" s="97" t="str">
        <f t="shared" si="2"/>
        <v>-</v>
      </c>
    </row>
    <row r="73" spans="3:16">
      <c r="C73" s="26"/>
      <c r="D73" s="115"/>
      <c r="E73" s="29"/>
      <c r="F73" s="92" t="str">
        <f t="shared" si="0"/>
        <v>-</v>
      </c>
      <c r="G73" s="199"/>
      <c r="H73" s="118"/>
      <c r="I73" s="26"/>
      <c r="J73" s="101" t="str">
        <f>IFERROR(MIN('MP Calculations'!$E$29/I73,1),"-")</f>
        <v>-</v>
      </c>
      <c r="K73" s="37"/>
      <c r="L73" s="26"/>
      <c r="M73" s="26"/>
      <c r="N73" s="26"/>
      <c r="O73" s="95" t="str">
        <f t="shared" si="1"/>
        <v>-</v>
      </c>
      <c r="P73" s="97" t="str">
        <f t="shared" si="2"/>
        <v>-</v>
      </c>
    </row>
    <row r="74" spans="3:16">
      <c r="C74" s="26"/>
      <c r="D74" s="115"/>
      <c r="E74" s="29"/>
      <c r="F74" s="92" t="str">
        <f t="shared" si="0"/>
        <v>-</v>
      </c>
      <c r="G74" s="199"/>
      <c r="H74" s="118"/>
      <c r="I74" s="26"/>
      <c r="J74" s="101" t="str">
        <f>IFERROR(MIN('MP Calculations'!$E$29/I74,1),"-")</f>
        <v>-</v>
      </c>
      <c r="K74" s="37"/>
      <c r="L74" s="26"/>
      <c r="M74" s="26"/>
      <c r="N74" s="26"/>
      <c r="O74" s="95" t="str">
        <f t="shared" si="1"/>
        <v>-</v>
      </c>
      <c r="P74" s="97" t="str">
        <f t="shared" si="2"/>
        <v>-</v>
      </c>
    </row>
    <row r="75" spans="3:16">
      <c r="C75" s="26"/>
      <c r="D75" s="115"/>
      <c r="E75" s="29"/>
      <c r="F75" s="92" t="str">
        <f t="shared" si="0"/>
        <v>-</v>
      </c>
      <c r="G75" s="199"/>
      <c r="H75" s="118"/>
      <c r="I75" s="26"/>
      <c r="J75" s="101" t="str">
        <f>IFERROR(MIN('MP Calculations'!$E$29/I75,1),"-")</f>
        <v>-</v>
      </c>
      <c r="K75" s="37"/>
      <c r="L75" s="26"/>
      <c r="M75" s="26"/>
      <c r="N75" s="26"/>
      <c r="O75" s="95" t="str">
        <f t="shared" si="1"/>
        <v>-</v>
      </c>
      <c r="P75" s="97" t="str">
        <f t="shared" si="2"/>
        <v>-</v>
      </c>
    </row>
    <row r="76" spans="3:16">
      <c r="C76" s="26"/>
      <c r="D76" s="115"/>
      <c r="E76" s="29"/>
      <c r="F76" s="92" t="str">
        <f t="shared" si="0"/>
        <v>-</v>
      </c>
      <c r="G76" s="199"/>
      <c r="H76" s="118"/>
      <c r="I76" s="26"/>
      <c r="J76" s="101" t="str">
        <f>IFERROR(MIN('MP Calculations'!$E$29/I76,1),"-")</f>
        <v>-</v>
      </c>
      <c r="K76" s="37"/>
      <c r="L76" s="26"/>
      <c r="M76" s="26"/>
      <c r="N76" s="26"/>
      <c r="O76" s="95" t="str">
        <f t="shared" si="1"/>
        <v>-</v>
      </c>
      <c r="P76" s="97" t="str">
        <f t="shared" si="2"/>
        <v>-</v>
      </c>
    </row>
    <row r="77" spans="3:16">
      <c r="C77" s="26"/>
      <c r="D77" s="115"/>
      <c r="E77" s="29"/>
      <c r="F77" s="92" t="str">
        <f t="shared" si="0"/>
        <v>-</v>
      </c>
      <c r="G77" s="199"/>
      <c r="H77" s="118"/>
      <c r="I77" s="26"/>
      <c r="J77" s="101" t="str">
        <f>IFERROR(MIN('MP Calculations'!$E$29/I77,1),"-")</f>
        <v>-</v>
      </c>
      <c r="K77" s="37"/>
      <c r="L77" s="26"/>
      <c r="M77" s="26"/>
      <c r="N77" s="26"/>
      <c r="O77" s="95" t="str">
        <f t="shared" si="1"/>
        <v>-</v>
      </c>
      <c r="P77" s="97" t="str">
        <f t="shared" si="2"/>
        <v>-</v>
      </c>
    </row>
    <row r="78" spans="3:16">
      <c r="C78" s="26"/>
      <c r="D78" s="115"/>
      <c r="E78" s="29"/>
      <c r="F78" s="92" t="str">
        <f t="shared" si="0"/>
        <v>-</v>
      </c>
      <c r="G78" s="199"/>
      <c r="H78" s="118"/>
      <c r="I78" s="26"/>
      <c r="J78" s="101" t="str">
        <f>IFERROR(MIN('MP Calculations'!$E$29/I78,1),"-")</f>
        <v>-</v>
      </c>
      <c r="K78" s="37"/>
      <c r="L78" s="26"/>
      <c r="M78" s="26"/>
      <c r="N78" s="26"/>
      <c r="O78" s="95" t="str">
        <f t="shared" si="1"/>
        <v>-</v>
      </c>
      <c r="P78" s="97" t="str">
        <f t="shared" si="2"/>
        <v>-</v>
      </c>
    </row>
    <row r="79" spans="3:16">
      <c r="C79" s="26"/>
      <c r="D79" s="115"/>
      <c r="E79" s="29"/>
      <c r="F79" s="92" t="str">
        <f t="shared" si="0"/>
        <v>-</v>
      </c>
      <c r="G79" s="199"/>
      <c r="H79" s="118"/>
      <c r="I79" s="26"/>
      <c r="J79" s="101" t="str">
        <f>IFERROR(MIN('MP Calculations'!$E$29/I79,1),"-")</f>
        <v>-</v>
      </c>
      <c r="K79" s="37"/>
      <c r="L79" s="26"/>
      <c r="M79" s="26"/>
      <c r="N79" s="26"/>
      <c r="O79" s="95" t="str">
        <f t="shared" si="1"/>
        <v>-</v>
      </c>
      <c r="P79" s="97" t="str">
        <f t="shared" si="2"/>
        <v>-</v>
      </c>
    </row>
    <row r="80" spans="3:16">
      <c r="C80" s="26"/>
      <c r="D80" s="115"/>
      <c r="E80" s="29"/>
      <c r="F80" s="92" t="str">
        <f t="shared" si="0"/>
        <v>-</v>
      </c>
      <c r="G80" s="199"/>
      <c r="H80" s="118"/>
      <c r="I80" s="26"/>
      <c r="J80" s="101" t="str">
        <f>IFERROR(MIN('MP Calculations'!$E$29/I80,1),"-")</f>
        <v>-</v>
      </c>
      <c r="K80" s="37"/>
      <c r="L80" s="26"/>
      <c r="M80" s="26"/>
      <c r="N80" s="26"/>
      <c r="O80" s="95" t="str">
        <f t="shared" si="1"/>
        <v>-</v>
      </c>
      <c r="P80" s="97" t="str">
        <f t="shared" si="2"/>
        <v>-</v>
      </c>
    </row>
    <row r="81" spans="3:16">
      <c r="C81" s="26"/>
      <c r="D81" s="115"/>
      <c r="E81" s="29"/>
      <c r="F81" s="92" t="str">
        <f t="shared" si="0"/>
        <v>-</v>
      </c>
      <c r="G81" s="199"/>
      <c r="H81" s="118"/>
      <c r="I81" s="26"/>
      <c r="J81" s="101" t="str">
        <f>IFERROR(MIN('MP Calculations'!$E$29/I81,1),"-")</f>
        <v>-</v>
      </c>
      <c r="K81" s="37"/>
      <c r="L81" s="26"/>
      <c r="M81" s="26"/>
      <c r="N81" s="26"/>
      <c r="O81" s="95" t="str">
        <f t="shared" si="1"/>
        <v>-</v>
      </c>
      <c r="P81" s="97" t="str">
        <f t="shared" si="2"/>
        <v>-</v>
      </c>
    </row>
    <row r="82" spans="3:16">
      <c r="C82" s="26"/>
      <c r="D82" s="115"/>
      <c r="E82" s="29"/>
      <c r="F82" s="92" t="str">
        <f t="shared" si="0"/>
        <v>-</v>
      </c>
      <c r="G82" s="199"/>
      <c r="H82" s="118"/>
      <c r="I82" s="26"/>
      <c r="J82" s="101" t="str">
        <f>IFERROR(MIN('MP Calculations'!$E$29/I82,1),"-")</f>
        <v>-</v>
      </c>
      <c r="K82" s="37"/>
      <c r="L82" s="26"/>
      <c r="M82" s="26"/>
      <c r="N82" s="26"/>
      <c r="O82" s="95" t="str">
        <f t="shared" si="1"/>
        <v>-</v>
      </c>
      <c r="P82" s="97" t="str">
        <f t="shared" si="2"/>
        <v>-</v>
      </c>
    </row>
    <row r="83" spans="3:16">
      <c r="C83" s="26"/>
      <c r="D83" s="115"/>
      <c r="E83" s="29"/>
      <c r="F83" s="92" t="str">
        <f t="shared" si="0"/>
        <v>-</v>
      </c>
      <c r="G83" s="199"/>
      <c r="H83" s="118"/>
      <c r="I83" s="26"/>
      <c r="J83" s="101" t="str">
        <f>IFERROR(MIN('MP Calculations'!$E$29/I83,1),"-")</f>
        <v>-</v>
      </c>
      <c r="K83" s="37"/>
      <c r="L83" s="26"/>
      <c r="M83" s="26"/>
      <c r="N83" s="26"/>
      <c r="O83" s="95" t="str">
        <f t="shared" si="1"/>
        <v>-</v>
      </c>
      <c r="P83" s="97" t="str">
        <f t="shared" si="2"/>
        <v>-</v>
      </c>
    </row>
    <row r="84" spans="3:16">
      <c r="C84" s="26"/>
      <c r="D84" s="115"/>
      <c r="E84" s="29"/>
      <c r="F84" s="92" t="str">
        <f t="shared" si="0"/>
        <v>-</v>
      </c>
      <c r="G84" s="199"/>
      <c r="H84" s="118"/>
      <c r="I84" s="26"/>
      <c r="J84" s="101" t="str">
        <f>IFERROR(MIN('MP Calculations'!$E$29/I84,1),"-")</f>
        <v>-</v>
      </c>
      <c r="K84" s="37"/>
      <c r="L84" s="26"/>
      <c r="M84" s="26"/>
      <c r="N84" s="26"/>
      <c r="O84" s="95" t="str">
        <f t="shared" si="1"/>
        <v>-</v>
      </c>
      <c r="P84" s="97" t="str">
        <f t="shared" si="2"/>
        <v>-</v>
      </c>
    </row>
    <row r="85" spans="3:16">
      <c r="C85" s="26"/>
      <c r="D85" s="115"/>
      <c r="E85" s="29"/>
      <c r="F85" s="92" t="str">
        <f t="shared" si="0"/>
        <v>-</v>
      </c>
      <c r="G85" s="199"/>
      <c r="H85" s="118"/>
      <c r="I85" s="26"/>
      <c r="J85" s="101" t="str">
        <f>IFERROR(MIN('MP Calculations'!$E$29/I85,1),"-")</f>
        <v>-</v>
      </c>
      <c r="K85" s="37"/>
      <c r="L85" s="26"/>
      <c r="M85" s="26"/>
      <c r="N85" s="26"/>
      <c r="O85" s="95" t="str">
        <f t="shared" si="1"/>
        <v>-</v>
      </c>
      <c r="P85" s="97" t="str">
        <f t="shared" si="2"/>
        <v>-</v>
      </c>
    </row>
    <row r="86" spans="3:16">
      <c r="C86" s="26"/>
      <c r="D86" s="115"/>
      <c r="E86" s="29"/>
      <c r="F86" s="92" t="str">
        <f t="shared" si="0"/>
        <v>-</v>
      </c>
      <c r="G86" s="199"/>
      <c r="H86" s="118"/>
      <c r="I86" s="26"/>
      <c r="J86" s="101" t="str">
        <f>IFERROR(MIN('MP Calculations'!$E$29/I86,1),"-")</f>
        <v>-</v>
      </c>
      <c r="K86" s="37"/>
      <c r="L86" s="26"/>
      <c r="M86" s="26"/>
      <c r="N86" s="26"/>
      <c r="O86" s="95" t="str">
        <f t="shared" si="1"/>
        <v>-</v>
      </c>
      <c r="P86" s="97" t="str">
        <f t="shared" si="2"/>
        <v>-</v>
      </c>
    </row>
    <row r="87" spans="3:16">
      <c r="C87" s="26"/>
      <c r="D87" s="115"/>
      <c r="E87" s="29"/>
      <c r="F87" s="92" t="str">
        <f t="shared" ref="F87:F218" si="3">IF(E87="","-",IF(OR(E87&lt;$E$15,E87&gt;$E$16),"ERROR - date outside of range","Date check - OK"))</f>
        <v>-</v>
      </c>
      <c r="G87" s="199"/>
      <c r="H87" s="118"/>
      <c r="I87" s="26"/>
      <c r="J87" s="101" t="str">
        <f>IFERROR(MIN('MP Calculations'!$E$29/I87,1),"-")</f>
        <v>-</v>
      </c>
      <c r="K87" s="37"/>
      <c r="L87" s="26"/>
      <c r="M87" s="26"/>
      <c r="N87" s="26"/>
      <c r="O87" s="95" t="str">
        <f t="shared" ref="O87:O150" si="4">IF(N87="","-",L87*N87)</f>
        <v>-</v>
      </c>
      <c r="P87" s="97" t="str">
        <f t="shared" ref="P87:P218" si="5">IF(O87="-","-",IF(OR(E87&lt;$E$15,E87&gt;$E$16),0,O87*J87))</f>
        <v>-</v>
      </c>
    </row>
    <row r="88" spans="3:16">
      <c r="C88" s="26"/>
      <c r="D88" s="115"/>
      <c r="E88" s="29"/>
      <c r="F88" s="92" t="str">
        <f t="shared" si="3"/>
        <v>-</v>
      </c>
      <c r="G88" s="199"/>
      <c r="H88" s="118"/>
      <c r="I88" s="26"/>
      <c r="J88" s="101" t="str">
        <f>IFERROR(MIN('MP Calculations'!$E$29/I88,1),"-")</f>
        <v>-</v>
      </c>
      <c r="K88" s="37"/>
      <c r="L88" s="26"/>
      <c r="M88" s="26"/>
      <c r="N88" s="26"/>
      <c r="O88" s="95" t="str">
        <f t="shared" si="4"/>
        <v>-</v>
      </c>
      <c r="P88" s="97" t="str">
        <f t="shared" si="5"/>
        <v>-</v>
      </c>
    </row>
    <row r="89" spans="3:16">
      <c r="C89" s="26"/>
      <c r="D89" s="115"/>
      <c r="E89" s="29"/>
      <c r="F89" s="92" t="str">
        <f t="shared" si="3"/>
        <v>-</v>
      </c>
      <c r="G89" s="199"/>
      <c r="H89" s="118"/>
      <c r="I89" s="26"/>
      <c r="J89" s="101" t="str">
        <f>IFERROR(MIN('MP Calculations'!$E$29/I89,1),"-")</f>
        <v>-</v>
      </c>
      <c r="K89" s="37"/>
      <c r="L89" s="26"/>
      <c r="M89" s="26"/>
      <c r="N89" s="26"/>
      <c r="O89" s="95" t="str">
        <f t="shared" si="4"/>
        <v>-</v>
      </c>
      <c r="P89" s="97" t="str">
        <f t="shared" si="5"/>
        <v>-</v>
      </c>
    </row>
    <row r="90" spans="3:16">
      <c r="C90" s="26"/>
      <c r="D90" s="115"/>
      <c r="E90" s="29"/>
      <c r="F90" s="92" t="str">
        <f t="shared" si="3"/>
        <v>-</v>
      </c>
      <c r="G90" s="199"/>
      <c r="H90" s="118"/>
      <c r="I90" s="26"/>
      <c r="J90" s="101" t="str">
        <f>IFERROR(MIN('MP Calculations'!$E$29/I90,1),"-")</f>
        <v>-</v>
      </c>
      <c r="K90" s="37"/>
      <c r="L90" s="26"/>
      <c r="M90" s="26"/>
      <c r="N90" s="26"/>
      <c r="O90" s="95" t="str">
        <f t="shared" si="4"/>
        <v>-</v>
      </c>
      <c r="P90" s="97" t="str">
        <f t="shared" si="5"/>
        <v>-</v>
      </c>
    </row>
    <row r="91" spans="3:16">
      <c r="C91" s="26"/>
      <c r="D91" s="115"/>
      <c r="E91" s="29"/>
      <c r="F91" s="92" t="str">
        <f t="shared" si="3"/>
        <v>-</v>
      </c>
      <c r="G91" s="199"/>
      <c r="H91" s="118"/>
      <c r="I91" s="26"/>
      <c r="J91" s="101" t="str">
        <f>IFERROR(MIN('MP Calculations'!$E$29/I91,1),"-")</f>
        <v>-</v>
      </c>
      <c r="K91" s="37"/>
      <c r="L91" s="26"/>
      <c r="M91" s="26"/>
      <c r="N91" s="26"/>
      <c r="O91" s="95" t="str">
        <f t="shared" si="4"/>
        <v>-</v>
      </c>
      <c r="P91" s="97" t="str">
        <f t="shared" si="5"/>
        <v>-</v>
      </c>
    </row>
    <row r="92" spans="3:16">
      <c r="C92" s="26"/>
      <c r="D92" s="115"/>
      <c r="E92" s="29"/>
      <c r="F92" s="92" t="str">
        <f t="shared" si="3"/>
        <v>-</v>
      </c>
      <c r="G92" s="199"/>
      <c r="H92" s="118"/>
      <c r="I92" s="26"/>
      <c r="J92" s="101" t="str">
        <f>IFERROR(MIN('MP Calculations'!$E$29/I92,1),"-")</f>
        <v>-</v>
      </c>
      <c r="K92" s="37"/>
      <c r="L92" s="26"/>
      <c r="M92" s="26"/>
      <c r="N92" s="26"/>
      <c r="O92" s="95" t="str">
        <f t="shared" si="4"/>
        <v>-</v>
      </c>
      <c r="P92" s="97" t="str">
        <f t="shared" si="5"/>
        <v>-</v>
      </c>
    </row>
    <row r="93" spans="3:16">
      <c r="C93" s="26"/>
      <c r="D93" s="115"/>
      <c r="E93" s="29"/>
      <c r="F93" s="92" t="str">
        <f t="shared" si="3"/>
        <v>-</v>
      </c>
      <c r="G93" s="199"/>
      <c r="H93" s="118"/>
      <c r="I93" s="26"/>
      <c r="J93" s="101" t="str">
        <f>IFERROR(MIN('MP Calculations'!$E$29/I93,1),"-")</f>
        <v>-</v>
      </c>
      <c r="K93" s="37"/>
      <c r="L93" s="26"/>
      <c r="M93" s="26"/>
      <c r="N93" s="26"/>
      <c r="O93" s="95" t="str">
        <f t="shared" si="4"/>
        <v>-</v>
      </c>
      <c r="P93" s="97" t="str">
        <f t="shared" si="5"/>
        <v>-</v>
      </c>
    </row>
    <row r="94" spans="3:16">
      <c r="C94" s="26"/>
      <c r="D94" s="115"/>
      <c r="E94" s="29"/>
      <c r="F94" s="92" t="str">
        <f t="shared" si="3"/>
        <v>-</v>
      </c>
      <c r="G94" s="199"/>
      <c r="H94" s="118"/>
      <c r="I94" s="26"/>
      <c r="J94" s="101" t="str">
        <f>IFERROR(MIN('MP Calculations'!$E$29/I94,1),"-")</f>
        <v>-</v>
      </c>
      <c r="K94" s="37"/>
      <c r="L94" s="26"/>
      <c r="M94" s="26"/>
      <c r="N94" s="26"/>
      <c r="O94" s="95" t="str">
        <f t="shared" si="4"/>
        <v>-</v>
      </c>
      <c r="P94" s="97" t="str">
        <f t="shared" si="5"/>
        <v>-</v>
      </c>
    </row>
    <row r="95" spans="3:16">
      <c r="C95" s="26"/>
      <c r="D95" s="115"/>
      <c r="E95" s="29"/>
      <c r="F95" s="92" t="str">
        <f t="shared" si="3"/>
        <v>-</v>
      </c>
      <c r="G95" s="199"/>
      <c r="H95" s="118"/>
      <c r="I95" s="26"/>
      <c r="J95" s="101" t="str">
        <f>IFERROR(MIN('MP Calculations'!$E$29/I95,1),"-")</f>
        <v>-</v>
      </c>
      <c r="K95" s="37"/>
      <c r="L95" s="26"/>
      <c r="M95" s="26"/>
      <c r="N95" s="26"/>
      <c r="O95" s="95" t="str">
        <f t="shared" si="4"/>
        <v>-</v>
      </c>
      <c r="P95" s="97" t="str">
        <f t="shared" si="5"/>
        <v>-</v>
      </c>
    </row>
    <row r="96" spans="3:16">
      <c r="C96" s="26"/>
      <c r="D96" s="115"/>
      <c r="E96" s="29"/>
      <c r="F96" s="92" t="str">
        <f t="shared" si="3"/>
        <v>-</v>
      </c>
      <c r="G96" s="199"/>
      <c r="H96" s="118"/>
      <c r="I96" s="26"/>
      <c r="J96" s="101" t="str">
        <f>IFERROR(MIN('MP Calculations'!$E$29/I96,1),"-")</f>
        <v>-</v>
      </c>
      <c r="K96" s="37"/>
      <c r="L96" s="26"/>
      <c r="M96" s="26"/>
      <c r="N96" s="26"/>
      <c r="O96" s="95" t="str">
        <f t="shared" si="4"/>
        <v>-</v>
      </c>
      <c r="P96" s="97" t="str">
        <f t="shared" si="5"/>
        <v>-</v>
      </c>
    </row>
    <row r="97" spans="3:16">
      <c r="C97" s="26"/>
      <c r="D97" s="115"/>
      <c r="E97" s="29"/>
      <c r="F97" s="92" t="str">
        <f t="shared" si="3"/>
        <v>-</v>
      </c>
      <c r="G97" s="199"/>
      <c r="H97" s="118"/>
      <c r="I97" s="26"/>
      <c r="J97" s="101" t="str">
        <f>IFERROR(MIN('MP Calculations'!$E$29/I97,1),"-")</f>
        <v>-</v>
      </c>
      <c r="K97" s="37"/>
      <c r="L97" s="26"/>
      <c r="M97" s="26"/>
      <c r="N97" s="26"/>
      <c r="O97" s="95" t="str">
        <f t="shared" si="4"/>
        <v>-</v>
      </c>
      <c r="P97" s="97" t="str">
        <f t="shared" si="5"/>
        <v>-</v>
      </c>
    </row>
    <row r="98" spans="3:16">
      <c r="C98" s="26"/>
      <c r="D98" s="115"/>
      <c r="E98" s="29"/>
      <c r="F98" s="92" t="str">
        <f t="shared" si="3"/>
        <v>-</v>
      </c>
      <c r="G98" s="199"/>
      <c r="H98" s="118"/>
      <c r="I98" s="26"/>
      <c r="J98" s="101" t="str">
        <f>IFERROR(MIN('MP Calculations'!$E$29/I98,1),"-")</f>
        <v>-</v>
      </c>
      <c r="K98" s="37"/>
      <c r="L98" s="26"/>
      <c r="M98" s="26"/>
      <c r="N98" s="26"/>
      <c r="O98" s="95" t="str">
        <f t="shared" si="4"/>
        <v>-</v>
      </c>
      <c r="P98" s="97" t="str">
        <f t="shared" si="5"/>
        <v>-</v>
      </c>
    </row>
    <row r="99" spans="3:16">
      <c r="C99" s="26"/>
      <c r="D99" s="115"/>
      <c r="E99" s="29"/>
      <c r="F99" s="92" t="str">
        <f t="shared" si="3"/>
        <v>-</v>
      </c>
      <c r="G99" s="199"/>
      <c r="H99" s="118"/>
      <c r="I99" s="26"/>
      <c r="J99" s="101" t="str">
        <f>IFERROR(MIN('MP Calculations'!$E$29/I99,1),"-")</f>
        <v>-</v>
      </c>
      <c r="K99" s="37"/>
      <c r="L99" s="26"/>
      <c r="M99" s="26"/>
      <c r="N99" s="26"/>
      <c r="O99" s="95" t="str">
        <f t="shared" si="4"/>
        <v>-</v>
      </c>
      <c r="P99" s="97" t="str">
        <f t="shared" si="5"/>
        <v>-</v>
      </c>
    </row>
    <row r="100" spans="3:16">
      <c r="C100" s="26"/>
      <c r="D100" s="115"/>
      <c r="E100" s="29"/>
      <c r="F100" s="92" t="str">
        <f t="shared" si="3"/>
        <v>-</v>
      </c>
      <c r="G100" s="199"/>
      <c r="H100" s="118"/>
      <c r="I100" s="26"/>
      <c r="J100" s="101" t="str">
        <f>IFERROR(MIN('MP Calculations'!$E$29/I100,1),"-")</f>
        <v>-</v>
      </c>
      <c r="K100" s="37"/>
      <c r="L100" s="26"/>
      <c r="M100" s="26"/>
      <c r="N100" s="26"/>
      <c r="O100" s="95" t="str">
        <f t="shared" si="4"/>
        <v>-</v>
      </c>
      <c r="P100" s="97" t="str">
        <f t="shared" si="5"/>
        <v>-</v>
      </c>
    </row>
    <row r="101" spans="3:16">
      <c r="C101" s="26"/>
      <c r="D101" s="115"/>
      <c r="E101" s="29"/>
      <c r="F101" s="92" t="str">
        <f t="shared" si="3"/>
        <v>-</v>
      </c>
      <c r="G101" s="199"/>
      <c r="H101" s="118"/>
      <c r="I101" s="26"/>
      <c r="J101" s="101" t="str">
        <f>IFERROR(MIN('MP Calculations'!$E$29/I101,1),"-")</f>
        <v>-</v>
      </c>
      <c r="K101" s="37"/>
      <c r="L101" s="26"/>
      <c r="M101" s="26"/>
      <c r="N101" s="26"/>
      <c r="O101" s="95" t="str">
        <f t="shared" si="4"/>
        <v>-</v>
      </c>
      <c r="P101" s="97" t="str">
        <f t="shared" si="5"/>
        <v>-</v>
      </c>
    </row>
    <row r="102" spans="3:16">
      <c r="C102" s="26"/>
      <c r="D102" s="115"/>
      <c r="E102" s="29"/>
      <c r="F102" s="92" t="str">
        <f t="shared" si="3"/>
        <v>-</v>
      </c>
      <c r="G102" s="199"/>
      <c r="H102" s="118"/>
      <c r="I102" s="26"/>
      <c r="J102" s="101" t="str">
        <f>IFERROR(MIN('MP Calculations'!$E$29/I102,1),"-")</f>
        <v>-</v>
      </c>
      <c r="K102" s="37"/>
      <c r="L102" s="26"/>
      <c r="M102" s="26"/>
      <c r="N102" s="26"/>
      <c r="O102" s="95" t="str">
        <f t="shared" si="4"/>
        <v>-</v>
      </c>
      <c r="P102" s="97" t="str">
        <f t="shared" si="5"/>
        <v>-</v>
      </c>
    </row>
    <row r="103" spans="3:16">
      <c r="C103" s="26"/>
      <c r="D103" s="115"/>
      <c r="E103" s="29"/>
      <c r="F103" s="92" t="str">
        <f t="shared" si="3"/>
        <v>-</v>
      </c>
      <c r="G103" s="199"/>
      <c r="H103" s="118"/>
      <c r="I103" s="26"/>
      <c r="J103" s="101" t="str">
        <f>IFERROR(MIN('MP Calculations'!$E$29/I103,1),"-")</f>
        <v>-</v>
      </c>
      <c r="K103" s="37"/>
      <c r="L103" s="26"/>
      <c r="M103" s="26"/>
      <c r="N103" s="26"/>
      <c r="O103" s="95" t="str">
        <f t="shared" si="4"/>
        <v>-</v>
      </c>
      <c r="P103" s="97" t="str">
        <f t="shared" si="5"/>
        <v>-</v>
      </c>
    </row>
    <row r="104" spans="3:16">
      <c r="C104" s="26"/>
      <c r="D104" s="115"/>
      <c r="E104" s="29"/>
      <c r="F104" s="92" t="str">
        <f t="shared" si="3"/>
        <v>-</v>
      </c>
      <c r="G104" s="199"/>
      <c r="H104" s="118"/>
      <c r="I104" s="26"/>
      <c r="J104" s="101" t="str">
        <f>IFERROR(MIN('MP Calculations'!$E$29/I104,1),"-")</f>
        <v>-</v>
      </c>
      <c r="K104" s="37"/>
      <c r="L104" s="26"/>
      <c r="M104" s="26"/>
      <c r="N104" s="26"/>
      <c r="O104" s="95" t="str">
        <f t="shared" si="4"/>
        <v>-</v>
      </c>
      <c r="P104" s="97" t="str">
        <f t="shared" si="5"/>
        <v>-</v>
      </c>
    </row>
    <row r="105" spans="3:16">
      <c r="C105" s="26"/>
      <c r="D105" s="115"/>
      <c r="E105" s="29"/>
      <c r="F105" s="92" t="str">
        <f t="shared" si="3"/>
        <v>-</v>
      </c>
      <c r="G105" s="199"/>
      <c r="H105" s="118"/>
      <c r="I105" s="26"/>
      <c r="J105" s="101" t="str">
        <f>IFERROR(MIN('MP Calculations'!$E$29/I105,1),"-")</f>
        <v>-</v>
      </c>
      <c r="K105" s="37"/>
      <c r="L105" s="26"/>
      <c r="M105" s="26"/>
      <c r="N105" s="26"/>
      <c r="O105" s="95" t="str">
        <f t="shared" si="4"/>
        <v>-</v>
      </c>
      <c r="P105" s="97" t="str">
        <f t="shared" si="5"/>
        <v>-</v>
      </c>
    </row>
    <row r="106" spans="3:16">
      <c r="C106" s="26"/>
      <c r="D106" s="115"/>
      <c r="E106" s="29"/>
      <c r="F106" s="92" t="str">
        <f t="shared" si="3"/>
        <v>-</v>
      </c>
      <c r="G106" s="199"/>
      <c r="H106" s="118"/>
      <c r="I106" s="26"/>
      <c r="J106" s="101" t="str">
        <f>IFERROR(MIN('MP Calculations'!$E$29/I106,1),"-")</f>
        <v>-</v>
      </c>
      <c r="K106" s="37"/>
      <c r="L106" s="26"/>
      <c r="M106" s="26"/>
      <c r="N106" s="26"/>
      <c r="O106" s="95" t="str">
        <f t="shared" si="4"/>
        <v>-</v>
      </c>
      <c r="P106" s="97" t="str">
        <f t="shared" si="5"/>
        <v>-</v>
      </c>
    </row>
    <row r="107" spans="3:16">
      <c r="C107" s="26"/>
      <c r="D107" s="115"/>
      <c r="E107" s="29"/>
      <c r="F107" s="92" t="str">
        <f t="shared" si="3"/>
        <v>-</v>
      </c>
      <c r="G107" s="199"/>
      <c r="H107" s="118"/>
      <c r="I107" s="26"/>
      <c r="J107" s="101" t="str">
        <f>IFERROR(MIN('MP Calculations'!$E$29/I107,1),"-")</f>
        <v>-</v>
      </c>
      <c r="K107" s="37"/>
      <c r="L107" s="26"/>
      <c r="M107" s="26"/>
      <c r="N107" s="26"/>
      <c r="O107" s="95" t="str">
        <f t="shared" si="4"/>
        <v>-</v>
      </c>
      <c r="P107" s="97" t="str">
        <f t="shared" si="5"/>
        <v>-</v>
      </c>
    </row>
    <row r="108" spans="3:16">
      <c r="C108" s="26"/>
      <c r="D108" s="115"/>
      <c r="E108" s="29"/>
      <c r="F108" s="92" t="str">
        <f t="shared" si="3"/>
        <v>-</v>
      </c>
      <c r="G108" s="199"/>
      <c r="H108" s="118"/>
      <c r="I108" s="26"/>
      <c r="J108" s="101" t="str">
        <f>IFERROR(MIN('MP Calculations'!$E$29/I108,1),"-")</f>
        <v>-</v>
      </c>
      <c r="K108" s="37"/>
      <c r="L108" s="26"/>
      <c r="M108" s="26"/>
      <c r="N108" s="26"/>
      <c r="O108" s="95" t="str">
        <f t="shared" si="4"/>
        <v>-</v>
      </c>
      <c r="P108" s="97" t="str">
        <f t="shared" si="5"/>
        <v>-</v>
      </c>
    </row>
    <row r="109" spans="3:16">
      <c r="C109" s="26"/>
      <c r="D109" s="115"/>
      <c r="E109" s="29"/>
      <c r="F109" s="92" t="str">
        <f t="shared" si="3"/>
        <v>-</v>
      </c>
      <c r="G109" s="199"/>
      <c r="H109" s="118"/>
      <c r="I109" s="26"/>
      <c r="J109" s="101" t="str">
        <f>IFERROR(MIN('MP Calculations'!$E$29/I109,1),"-")</f>
        <v>-</v>
      </c>
      <c r="K109" s="37"/>
      <c r="L109" s="26"/>
      <c r="M109" s="26"/>
      <c r="N109" s="26"/>
      <c r="O109" s="95" t="str">
        <f t="shared" si="4"/>
        <v>-</v>
      </c>
      <c r="P109" s="97" t="str">
        <f t="shared" si="5"/>
        <v>-</v>
      </c>
    </row>
    <row r="110" spans="3:16">
      <c r="C110" s="26"/>
      <c r="D110" s="115"/>
      <c r="E110" s="29"/>
      <c r="F110" s="92" t="str">
        <f t="shared" si="3"/>
        <v>-</v>
      </c>
      <c r="G110" s="199"/>
      <c r="H110" s="118"/>
      <c r="I110" s="26"/>
      <c r="J110" s="101" t="str">
        <f>IFERROR(MIN('MP Calculations'!$E$29/I110,1),"-")</f>
        <v>-</v>
      </c>
      <c r="K110" s="37"/>
      <c r="L110" s="26"/>
      <c r="M110" s="26"/>
      <c r="N110" s="26"/>
      <c r="O110" s="95" t="str">
        <f t="shared" si="4"/>
        <v>-</v>
      </c>
      <c r="P110" s="97" t="str">
        <f t="shared" si="5"/>
        <v>-</v>
      </c>
    </row>
    <row r="111" spans="3:16">
      <c r="C111" s="26"/>
      <c r="D111" s="115"/>
      <c r="E111" s="29"/>
      <c r="F111" s="92" t="str">
        <f t="shared" si="3"/>
        <v>-</v>
      </c>
      <c r="G111" s="199"/>
      <c r="H111" s="118"/>
      <c r="I111" s="26"/>
      <c r="J111" s="101" t="str">
        <f>IFERROR(MIN('MP Calculations'!$E$29/I111,1),"-")</f>
        <v>-</v>
      </c>
      <c r="K111" s="37"/>
      <c r="L111" s="26"/>
      <c r="M111" s="26"/>
      <c r="N111" s="26"/>
      <c r="O111" s="95" t="str">
        <f t="shared" si="4"/>
        <v>-</v>
      </c>
      <c r="P111" s="97" t="str">
        <f t="shared" si="5"/>
        <v>-</v>
      </c>
    </row>
    <row r="112" spans="3:16">
      <c r="C112" s="26"/>
      <c r="D112" s="115"/>
      <c r="E112" s="29"/>
      <c r="F112" s="92" t="str">
        <f t="shared" si="3"/>
        <v>-</v>
      </c>
      <c r="G112" s="199"/>
      <c r="H112" s="118"/>
      <c r="I112" s="26"/>
      <c r="J112" s="101" t="str">
        <f>IFERROR(MIN('MP Calculations'!$E$29/I112,1),"-")</f>
        <v>-</v>
      </c>
      <c r="K112" s="37"/>
      <c r="L112" s="26"/>
      <c r="M112" s="26"/>
      <c r="N112" s="26"/>
      <c r="O112" s="95" t="str">
        <f t="shared" si="4"/>
        <v>-</v>
      </c>
      <c r="P112" s="97" t="str">
        <f t="shared" si="5"/>
        <v>-</v>
      </c>
    </row>
    <row r="113" spans="3:16">
      <c r="C113" s="26"/>
      <c r="D113" s="115"/>
      <c r="E113" s="29"/>
      <c r="F113" s="92" t="str">
        <f t="shared" si="3"/>
        <v>-</v>
      </c>
      <c r="G113" s="199"/>
      <c r="H113" s="118"/>
      <c r="I113" s="26"/>
      <c r="J113" s="101" t="str">
        <f>IFERROR(MIN('MP Calculations'!$E$29/I113,1),"-")</f>
        <v>-</v>
      </c>
      <c r="K113" s="37"/>
      <c r="L113" s="26"/>
      <c r="M113" s="26"/>
      <c r="N113" s="26"/>
      <c r="O113" s="95" t="str">
        <f t="shared" si="4"/>
        <v>-</v>
      </c>
      <c r="P113" s="97" t="str">
        <f t="shared" si="5"/>
        <v>-</v>
      </c>
    </row>
    <row r="114" spans="3:16">
      <c r="C114" s="26"/>
      <c r="D114" s="115"/>
      <c r="E114" s="29"/>
      <c r="F114" s="92" t="str">
        <f t="shared" si="3"/>
        <v>-</v>
      </c>
      <c r="G114" s="199"/>
      <c r="H114" s="118"/>
      <c r="I114" s="26"/>
      <c r="J114" s="101" t="str">
        <f>IFERROR(MIN('MP Calculations'!$E$29/I114,1),"-")</f>
        <v>-</v>
      </c>
      <c r="K114" s="37"/>
      <c r="L114" s="26"/>
      <c r="M114" s="26"/>
      <c r="N114" s="26"/>
      <c r="O114" s="95" t="str">
        <f t="shared" si="4"/>
        <v>-</v>
      </c>
      <c r="P114" s="97" t="str">
        <f t="shared" si="5"/>
        <v>-</v>
      </c>
    </row>
    <row r="115" spans="3:16">
      <c r="C115" s="26"/>
      <c r="D115" s="115"/>
      <c r="E115" s="29"/>
      <c r="F115" s="92" t="str">
        <f t="shared" si="3"/>
        <v>-</v>
      </c>
      <c r="G115" s="199"/>
      <c r="H115" s="118"/>
      <c r="I115" s="26"/>
      <c r="J115" s="101" t="str">
        <f>IFERROR(MIN('MP Calculations'!$E$29/I115,1),"-")</f>
        <v>-</v>
      </c>
      <c r="K115" s="37"/>
      <c r="L115" s="26"/>
      <c r="M115" s="26"/>
      <c r="N115" s="26"/>
      <c r="O115" s="95" t="str">
        <f t="shared" si="4"/>
        <v>-</v>
      </c>
      <c r="P115" s="97" t="str">
        <f t="shared" si="5"/>
        <v>-</v>
      </c>
    </row>
    <row r="116" spans="3:16">
      <c r="C116" s="26"/>
      <c r="D116" s="115"/>
      <c r="E116" s="29"/>
      <c r="F116" s="92" t="str">
        <f t="shared" si="3"/>
        <v>-</v>
      </c>
      <c r="G116" s="199"/>
      <c r="H116" s="118"/>
      <c r="I116" s="26"/>
      <c r="J116" s="101" t="str">
        <f>IFERROR(MIN('MP Calculations'!$E$29/I116,1),"-")</f>
        <v>-</v>
      </c>
      <c r="K116" s="37"/>
      <c r="L116" s="26"/>
      <c r="M116" s="26"/>
      <c r="N116" s="26"/>
      <c r="O116" s="95" t="str">
        <f t="shared" si="4"/>
        <v>-</v>
      </c>
      <c r="P116" s="97" t="str">
        <f t="shared" si="5"/>
        <v>-</v>
      </c>
    </row>
    <row r="117" spans="3:16">
      <c r="C117" s="26"/>
      <c r="D117" s="115"/>
      <c r="E117" s="29"/>
      <c r="F117" s="92" t="str">
        <f t="shared" si="3"/>
        <v>-</v>
      </c>
      <c r="G117" s="199"/>
      <c r="H117" s="118"/>
      <c r="I117" s="26"/>
      <c r="J117" s="101" t="str">
        <f>IFERROR(MIN('MP Calculations'!$E$29/I117,1),"-")</f>
        <v>-</v>
      </c>
      <c r="K117" s="37"/>
      <c r="L117" s="26"/>
      <c r="M117" s="26"/>
      <c r="N117" s="26"/>
      <c r="O117" s="95" t="str">
        <f t="shared" si="4"/>
        <v>-</v>
      </c>
      <c r="P117" s="97" t="str">
        <f t="shared" si="5"/>
        <v>-</v>
      </c>
    </row>
    <row r="118" spans="3:16">
      <c r="C118" s="26"/>
      <c r="D118" s="115"/>
      <c r="E118" s="29"/>
      <c r="F118" s="92" t="str">
        <f t="shared" si="3"/>
        <v>-</v>
      </c>
      <c r="G118" s="199"/>
      <c r="H118" s="118"/>
      <c r="I118" s="26"/>
      <c r="J118" s="101" t="str">
        <f>IFERROR(MIN('MP Calculations'!$E$29/I118,1),"-")</f>
        <v>-</v>
      </c>
      <c r="K118" s="37"/>
      <c r="L118" s="26"/>
      <c r="M118" s="26"/>
      <c r="N118" s="26"/>
      <c r="O118" s="95" t="str">
        <f t="shared" si="4"/>
        <v>-</v>
      </c>
      <c r="P118" s="97" t="str">
        <f t="shared" si="5"/>
        <v>-</v>
      </c>
    </row>
    <row r="119" spans="3:16">
      <c r="C119" s="26"/>
      <c r="D119" s="115"/>
      <c r="E119" s="29"/>
      <c r="F119" s="92" t="str">
        <f t="shared" si="3"/>
        <v>-</v>
      </c>
      <c r="G119" s="199"/>
      <c r="H119" s="118"/>
      <c r="I119" s="26"/>
      <c r="J119" s="101" t="str">
        <f>IFERROR(MIN('MP Calculations'!$E$29/I119,1),"-")</f>
        <v>-</v>
      </c>
      <c r="K119" s="37"/>
      <c r="L119" s="26"/>
      <c r="M119" s="26"/>
      <c r="N119" s="26"/>
      <c r="O119" s="95" t="str">
        <f t="shared" si="4"/>
        <v>-</v>
      </c>
      <c r="P119" s="97" t="str">
        <f t="shared" si="5"/>
        <v>-</v>
      </c>
    </row>
    <row r="120" spans="3:16">
      <c r="C120" s="26"/>
      <c r="D120" s="115"/>
      <c r="E120" s="29"/>
      <c r="F120" s="92" t="str">
        <f t="shared" ref="F120:F183" si="6">IF(E120="","-",IF(OR(E120&lt;$E$15,E120&gt;$E$16),"ERROR - date outside of range","Date check - OK"))</f>
        <v>-</v>
      </c>
      <c r="G120" s="199"/>
      <c r="H120" s="118"/>
      <c r="I120" s="26"/>
      <c r="J120" s="101" t="str">
        <f>IFERROR(MIN('MP Calculations'!$E$29/I120,1),"-")</f>
        <v>-</v>
      </c>
      <c r="K120" s="37"/>
      <c r="L120" s="26"/>
      <c r="M120" s="26"/>
      <c r="N120" s="26"/>
      <c r="O120" s="95" t="str">
        <f t="shared" si="4"/>
        <v>-</v>
      </c>
      <c r="P120" s="97" t="str">
        <f t="shared" ref="P120:P183" si="7">IF(O120="-","-",IF(OR(E120&lt;$E$15,E120&gt;$E$16),0,O120*J120))</f>
        <v>-</v>
      </c>
    </row>
    <row r="121" spans="3:16">
      <c r="C121" s="26"/>
      <c r="D121" s="115"/>
      <c r="E121" s="29"/>
      <c r="F121" s="92" t="str">
        <f t="shared" si="6"/>
        <v>-</v>
      </c>
      <c r="G121" s="199"/>
      <c r="H121" s="118"/>
      <c r="I121" s="26"/>
      <c r="J121" s="101" t="str">
        <f>IFERROR(MIN('MP Calculations'!$E$29/I121,1),"-")</f>
        <v>-</v>
      </c>
      <c r="K121" s="37"/>
      <c r="L121" s="26"/>
      <c r="M121" s="26"/>
      <c r="N121" s="26"/>
      <c r="O121" s="95" t="str">
        <f t="shared" si="4"/>
        <v>-</v>
      </c>
      <c r="P121" s="97" t="str">
        <f t="shared" si="7"/>
        <v>-</v>
      </c>
    </row>
    <row r="122" spans="3:16">
      <c r="C122" s="26"/>
      <c r="D122" s="115"/>
      <c r="E122" s="29"/>
      <c r="F122" s="92" t="str">
        <f t="shared" si="6"/>
        <v>-</v>
      </c>
      <c r="G122" s="199"/>
      <c r="H122" s="118"/>
      <c r="I122" s="26"/>
      <c r="J122" s="101" t="str">
        <f>IFERROR(MIN('MP Calculations'!$E$29/I122,1),"-")</f>
        <v>-</v>
      </c>
      <c r="K122" s="37"/>
      <c r="L122" s="26"/>
      <c r="M122" s="26"/>
      <c r="N122" s="26"/>
      <c r="O122" s="95" t="str">
        <f t="shared" si="4"/>
        <v>-</v>
      </c>
      <c r="P122" s="97" t="str">
        <f t="shared" si="7"/>
        <v>-</v>
      </c>
    </row>
    <row r="123" spans="3:16">
      <c r="C123" s="26"/>
      <c r="D123" s="115"/>
      <c r="E123" s="29"/>
      <c r="F123" s="92" t="str">
        <f t="shared" si="6"/>
        <v>-</v>
      </c>
      <c r="G123" s="199"/>
      <c r="H123" s="118"/>
      <c r="I123" s="26"/>
      <c r="J123" s="101" t="str">
        <f>IFERROR(MIN('MP Calculations'!$E$29/I123,1),"-")</f>
        <v>-</v>
      </c>
      <c r="K123" s="37"/>
      <c r="L123" s="26"/>
      <c r="M123" s="26"/>
      <c r="N123" s="26"/>
      <c r="O123" s="95" t="str">
        <f t="shared" si="4"/>
        <v>-</v>
      </c>
      <c r="P123" s="97" t="str">
        <f t="shared" si="7"/>
        <v>-</v>
      </c>
    </row>
    <row r="124" spans="3:16">
      <c r="C124" s="26"/>
      <c r="D124" s="115"/>
      <c r="E124" s="29"/>
      <c r="F124" s="92" t="str">
        <f t="shared" si="6"/>
        <v>-</v>
      </c>
      <c r="G124" s="199"/>
      <c r="H124" s="118"/>
      <c r="I124" s="26"/>
      <c r="J124" s="101" t="str">
        <f>IFERROR(MIN('MP Calculations'!$E$29/I124,1),"-")</f>
        <v>-</v>
      </c>
      <c r="K124" s="37"/>
      <c r="L124" s="26"/>
      <c r="M124" s="26"/>
      <c r="N124" s="26"/>
      <c r="O124" s="95" t="str">
        <f t="shared" si="4"/>
        <v>-</v>
      </c>
      <c r="P124" s="97" t="str">
        <f t="shared" si="7"/>
        <v>-</v>
      </c>
    </row>
    <row r="125" spans="3:16">
      <c r="C125" s="26"/>
      <c r="D125" s="115"/>
      <c r="E125" s="29"/>
      <c r="F125" s="92" t="str">
        <f t="shared" si="6"/>
        <v>-</v>
      </c>
      <c r="G125" s="199"/>
      <c r="H125" s="118"/>
      <c r="I125" s="26"/>
      <c r="J125" s="101" t="str">
        <f>IFERROR(MIN('MP Calculations'!$E$29/I125,1),"-")</f>
        <v>-</v>
      </c>
      <c r="K125" s="37"/>
      <c r="L125" s="26"/>
      <c r="M125" s="26"/>
      <c r="N125" s="26"/>
      <c r="O125" s="95" t="str">
        <f t="shared" si="4"/>
        <v>-</v>
      </c>
      <c r="P125" s="97" t="str">
        <f t="shared" si="7"/>
        <v>-</v>
      </c>
    </row>
    <row r="126" spans="3:16">
      <c r="C126" s="26"/>
      <c r="D126" s="115"/>
      <c r="E126" s="29"/>
      <c r="F126" s="92" t="str">
        <f t="shared" si="6"/>
        <v>-</v>
      </c>
      <c r="G126" s="199"/>
      <c r="H126" s="118"/>
      <c r="I126" s="26"/>
      <c r="J126" s="101" t="str">
        <f>IFERROR(MIN('MP Calculations'!$E$29/I126,1),"-")</f>
        <v>-</v>
      </c>
      <c r="K126" s="37"/>
      <c r="L126" s="26"/>
      <c r="M126" s="26"/>
      <c r="N126" s="26"/>
      <c r="O126" s="95" t="str">
        <f t="shared" si="4"/>
        <v>-</v>
      </c>
      <c r="P126" s="97" t="str">
        <f t="shared" si="7"/>
        <v>-</v>
      </c>
    </row>
    <row r="127" spans="3:16">
      <c r="C127" s="26"/>
      <c r="D127" s="115"/>
      <c r="E127" s="29"/>
      <c r="F127" s="92" t="str">
        <f t="shared" si="6"/>
        <v>-</v>
      </c>
      <c r="G127" s="199"/>
      <c r="H127" s="118"/>
      <c r="I127" s="26"/>
      <c r="J127" s="101" t="str">
        <f>IFERROR(MIN('MP Calculations'!$E$29/I127,1),"-")</f>
        <v>-</v>
      </c>
      <c r="K127" s="37"/>
      <c r="L127" s="26"/>
      <c r="M127" s="26"/>
      <c r="N127" s="26"/>
      <c r="O127" s="95" t="str">
        <f t="shared" si="4"/>
        <v>-</v>
      </c>
      <c r="P127" s="97" t="str">
        <f t="shared" si="7"/>
        <v>-</v>
      </c>
    </row>
    <row r="128" spans="3:16">
      <c r="C128" s="26"/>
      <c r="D128" s="115"/>
      <c r="E128" s="29"/>
      <c r="F128" s="92" t="str">
        <f t="shared" si="6"/>
        <v>-</v>
      </c>
      <c r="G128" s="199"/>
      <c r="H128" s="118"/>
      <c r="I128" s="26"/>
      <c r="J128" s="101" t="str">
        <f>IFERROR(MIN('MP Calculations'!$E$29/I128,1),"-")</f>
        <v>-</v>
      </c>
      <c r="K128" s="37"/>
      <c r="L128" s="26"/>
      <c r="M128" s="26"/>
      <c r="N128" s="26"/>
      <c r="O128" s="95" t="str">
        <f t="shared" si="4"/>
        <v>-</v>
      </c>
      <c r="P128" s="97" t="str">
        <f t="shared" si="7"/>
        <v>-</v>
      </c>
    </row>
    <row r="129" spans="3:16">
      <c r="C129" s="26"/>
      <c r="D129" s="115"/>
      <c r="E129" s="29"/>
      <c r="F129" s="92" t="str">
        <f t="shared" si="6"/>
        <v>-</v>
      </c>
      <c r="G129" s="199"/>
      <c r="H129" s="118"/>
      <c r="I129" s="26"/>
      <c r="J129" s="101" t="str">
        <f>IFERROR(MIN('MP Calculations'!$E$29/I129,1),"-")</f>
        <v>-</v>
      </c>
      <c r="K129" s="37"/>
      <c r="L129" s="26"/>
      <c r="M129" s="26"/>
      <c r="N129" s="26"/>
      <c r="O129" s="95" t="str">
        <f t="shared" si="4"/>
        <v>-</v>
      </c>
      <c r="P129" s="97" t="str">
        <f t="shared" si="7"/>
        <v>-</v>
      </c>
    </row>
    <row r="130" spans="3:16">
      <c r="C130" s="26"/>
      <c r="D130" s="115"/>
      <c r="E130" s="29"/>
      <c r="F130" s="92" t="str">
        <f t="shared" si="6"/>
        <v>-</v>
      </c>
      <c r="G130" s="199"/>
      <c r="H130" s="118"/>
      <c r="I130" s="26"/>
      <c r="J130" s="101" t="str">
        <f>IFERROR(MIN('MP Calculations'!$E$29/I130,1),"-")</f>
        <v>-</v>
      </c>
      <c r="K130" s="37"/>
      <c r="L130" s="26"/>
      <c r="M130" s="26"/>
      <c r="N130" s="26"/>
      <c r="O130" s="95" t="str">
        <f t="shared" si="4"/>
        <v>-</v>
      </c>
      <c r="P130" s="97" t="str">
        <f t="shared" si="7"/>
        <v>-</v>
      </c>
    </row>
    <row r="131" spans="3:16">
      <c r="C131" s="26"/>
      <c r="D131" s="115"/>
      <c r="E131" s="29"/>
      <c r="F131" s="92" t="str">
        <f t="shared" si="6"/>
        <v>-</v>
      </c>
      <c r="G131" s="199"/>
      <c r="H131" s="118"/>
      <c r="I131" s="26"/>
      <c r="J131" s="101" t="str">
        <f>IFERROR(MIN('MP Calculations'!$E$29/I131,1),"-")</f>
        <v>-</v>
      </c>
      <c r="K131" s="37"/>
      <c r="L131" s="26"/>
      <c r="M131" s="26"/>
      <c r="N131" s="26"/>
      <c r="O131" s="95" t="str">
        <f t="shared" si="4"/>
        <v>-</v>
      </c>
      <c r="P131" s="97" t="str">
        <f t="shared" si="7"/>
        <v>-</v>
      </c>
    </row>
    <row r="132" spans="3:16">
      <c r="C132" s="26"/>
      <c r="D132" s="115"/>
      <c r="E132" s="29"/>
      <c r="F132" s="92" t="str">
        <f t="shared" si="6"/>
        <v>-</v>
      </c>
      <c r="G132" s="199"/>
      <c r="H132" s="118"/>
      <c r="I132" s="26"/>
      <c r="J132" s="101" t="str">
        <f>IFERROR(MIN('MP Calculations'!$E$29/I132,1),"-")</f>
        <v>-</v>
      </c>
      <c r="K132" s="37"/>
      <c r="L132" s="26"/>
      <c r="M132" s="26"/>
      <c r="N132" s="26"/>
      <c r="O132" s="95" t="str">
        <f t="shared" si="4"/>
        <v>-</v>
      </c>
      <c r="P132" s="97" t="str">
        <f t="shared" si="7"/>
        <v>-</v>
      </c>
    </row>
    <row r="133" spans="3:16">
      <c r="C133" s="26"/>
      <c r="D133" s="115"/>
      <c r="E133" s="29"/>
      <c r="F133" s="92" t="str">
        <f t="shared" si="6"/>
        <v>-</v>
      </c>
      <c r="G133" s="199"/>
      <c r="H133" s="118"/>
      <c r="I133" s="26"/>
      <c r="J133" s="101" t="str">
        <f>IFERROR(MIN('MP Calculations'!$E$29/I133,1),"-")</f>
        <v>-</v>
      </c>
      <c r="K133" s="37"/>
      <c r="L133" s="26"/>
      <c r="M133" s="26"/>
      <c r="N133" s="26"/>
      <c r="O133" s="95" t="str">
        <f t="shared" si="4"/>
        <v>-</v>
      </c>
      <c r="P133" s="97" t="str">
        <f t="shared" si="7"/>
        <v>-</v>
      </c>
    </row>
    <row r="134" spans="3:16">
      <c r="C134" s="26"/>
      <c r="D134" s="115"/>
      <c r="E134" s="29"/>
      <c r="F134" s="92" t="str">
        <f t="shared" si="6"/>
        <v>-</v>
      </c>
      <c r="G134" s="199"/>
      <c r="H134" s="118"/>
      <c r="I134" s="26"/>
      <c r="J134" s="101" t="str">
        <f>IFERROR(MIN('MP Calculations'!$E$29/I134,1),"-")</f>
        <v>-</v>
      </c>
      <c r="K134" s="37"/>
      <c r="L134" s="26"/>
      <c r="M134" s="26"/>
      <c r="N134" s="26"/>
      <c r="O134" s="95" t="str">
        <f t="shared" si="4"/>
        <v>-</v>
      </c>
      <c r="P134" s="97" t="str">
        <f t="shared" si="7"/>
        <v>-</v>
      </c>
    </row>
    <row r="135" spans="3:16">
      <c r="C135" s="26"/>
      <c r="D135" s="115"/>
      <c r="E135" s="29"/>
      <c r="F135" s="92" t="str">
        <f t="shared" si="6"/>
        <v>-</v>
      </c>
      <c r="G135" s="199"/>
      <c r="H135" s="118"/>
      <c r="I135" s="26"/>
      <c r="J135" s="101" t="str">
        <f>IFERROR(MIN('MP Calculations'!$E$29/I135,1),"-")</f>
        <v>-</v>
      </c>
      <c r="K135" s="37"/>
      <c r="L135" s="26"/>
      <c r="M135" s="26"/>
      <c r="N135" s="26"/>
      <c r="O135" s="95" t="str">
        <f t="shared" si="4"/>
        <v>-</v>
      </c>
      <c r="P135" s="97" t="str">
        <f t="shared" si="7"/>
        <v>-</v>
      </c>
    </row>
    <row r="136" spans="3:16">
      <c r="C136" s="26"/>
      <c r="D136" s="115"/>
      <c r="E136" s="29"/>
      <c r="F136" s="92" t="str">
        <f t="shared" si="6"/>
        <v>-</v>
      </c>
      <c r="G136" s="199"/>
      <c r="H136" s="118"/>
      <c r="I136" s="26"/>
      <c r="J136" s="101" t="str">
        <f>IFERROR(MIN('MP Calculations'!$E$29/I136,1),"-")</f>
        <v>-</v>
      </c>
      <c r="K136" s="37"/>
      <c r="L136" s="26"/>
      <c r="M136" s="26"/>
      <c r="N136" s="26"/>
      <c r="O136" s="95" t="str">
        <f t="shared" si="4"/>
        <v>-</v>
      </c>
      <c r="P136" s="97" t="str">
        <f t="shared" si="7"/>
        <v>-</v>
      </c>
    </row>
    <row r="137" spans="3:16">
      <c r="C137" s="26"/>
      <c r="D137" s="115"/>
      <c r="E137" s="29"/>
      <c r="F137" s="92" t="str">
        <f t="shared" si="6"/>
        <v>-</v>
      </c>
      <c r="G137" s="199"/>
      <c r="H137" s="118"/>
      <c r="I137" s="26"/>
      <c r="J137" s="101" t="str">
        <f>IFERROR(MIN('MP Calculations'!$E$29/I137,1),"-")</f>
        <v>-</v>
      </c>
      <c r="K137" s="37"/>
      <c r="L137" s="26"/>
      <c r="M137" s="26"/>
      <c r="N137" s="26"/>
      <c r="O137" s="95" t="str">
        <f t="shared" si="4"/>
        <v>-</v>
      </c>
      <c r="P137" s="97" t="str">
        <f t="shared" si="7"/>
        <v>-</v>
      </c>
    </row>
    <row r="138" spans="3:16">
      <c r="C138" s="26"/>
      <c r="D138" s="115"/>
      <c r="E138" s="29"/>
      <c r="F138" s="92" t="str">
        <f t="shared" si="6"/>
        <v>-</v>
      </c>
      <c r="G138" s="199"/>
      <c r="H138" s="118"/>
      <c r="I138" s="26"/>
      <c r="J138" s="101" t="str">
        <f>IFERROR(MIN('MP Calculations'!$E$29/I138,1),"-")</f>
        <v>-</v>
      </c>
      <c r="K138" s="37"/>
      <c r="L138" s="26"/>
      <c r="M138" s="26"/>
      <c r="N138" s="26"/>
      <c r="O138" s="95" t="str">
        <f t="shared" si="4"/>
        <v>-</v>
      </c>
      <c r="P138" s="97" t="str">
        <f t="shared" si="7"/>
        <v>-</v>
      </c>
    </row>
    <row r="139" spans="3:16">
      <c r="C139" s="26"/>
      <c r="D139" s="115"/>
      <c r="E139" s="29"/>
      <c r="F139" s="92" t="str">
        <f t="shared" si="6"/>
        <v>-</v>
      </c>
      <c r="G139" s="199"/>
      <c r="H139" s="118"/>
      <c r="I139" s="26"/>
      <c r="J139" s="101" t="str">
        <f>IFERROR(MIN('MP Calculations'!$E$29/I139,1),"-")</f>
        <v>-</v>
      </c>
      <c r="K139" s="37"/>
      <c r="L139" s="26"/>
      <c r="M139" s="26"/>
      <c r="N139" s="26"/>
      <c r="O139" s="95" t="str">
        <f t="shared" si="4"/>
        <v>-</v>
      </c>
      <c r="P139" s="97" t="str">
        <f t="shared" si="7"/>
        <v>-</v>
      </c>
    </row>
    <row r="140" spans="3:16">
      <c r="C140" s="26"/>
      <c r="D140" s="115"/>
      <c r="E140" s="29"/>
      <c r="F140" s="92" t="str">
        <f t="shared" si="6"/>
        <v>-</v>
      </c>
      <c r="G140" s="199"/>
      <c r="H140" s="118"/>
      <c r="I140" s="26"/>
      <c r="J140" s="101" t="str">
        <f>IFERROR(MIN('MP Calculations'!$E$29/I140,1),"-")</f>
        <v>-</v>
      </c>
      <c r="K140" s="37"/>
      <c r="L140" s="26"/>
      <c r="M140" s="26"/>
      <c r="N140" s="26"/>
      <c r="O140" s="95" t="str">
        <f t="shared" si="4"/>
        <v>-</v>
      </c>
      <c r="P140" s="97" t="str">
        <f t="shared" si="7"/>
        <v>-</v>
      </c>
    </row>
    <row r="141" spans="3:16">
      <c r="C141" s="26"/>
      <c r="D141" s="115"/>
      <c r="E141" s="29"/>
      <c r="F141" s="92" t="str">
        <f t="shared" si="6"/>
        <v>-</v>
      </c>
      <c r="G141" s="199"/>
      <c r="H141" s="118"/>
      <c r="I141" s="26"/>
      <c r="J141" s="101" t="str">
        <f>IFERROR(MIN('MP Calculations'!$E$29/I141,1),"-")</f>
        <v>-</v>
      </c>
      <c r="K141" s="37"/>
      <c r="L141" s="26"/>
      <c r="M141" s="26"/>
      <c r="N141" s="26"/>
      <c r="O141" s="95" t="str">
        <f t="shared" si="4"/>
        <v>-</v>
      </c>
      <c r="P141" s="97" t="str">
        <f t="shared" si="7"/>
        <v>-</v>
      </c>
    </row>
    <row r="142" spans="3:16">
      <c r="C142" s="26"/>
      <c r="D142" s="115"/>
      <c r="E142" s="29"/>
      <c r="F142" s="92" t="str">
        <f t="shared" si="6"/>
        <v>-</v>
      </c>
      <c r="G142" s="199"/>
      <c r="H142" s="118"/>
      <c r="I142" s="26"/>
      <c r="J142" s="101" t="str">
        <f>IFERROR(MIN('MP Calculations'!$E$29/I142,1),"-")</f>
        <v>-</v>
      </c>
      <c r="K142" s="37"/>
      <c r="L142" s="26"/>
      <c r="M142" s="26"/>
      <c r="N142" s="26"/>
      <c r="O142" s="95" t="str">
        <f t="shared" si="4"/>
        <v>-</v>
      </c>
      <c r="P142" s="97" t="str">
        <f t="shared" si="7"/>
        <v>-</v>
      </c>
    </row>
    <row r="143" spans="3:16">
      <c r="C143" s="26"/>
      <c r="D143" s="115"/>
      <c r="E143" s="29"/>
      <c r="F143" s="92" t="str">
        <f t="shared" si="6"/>
        <v>-</v>
      </c>
      <c r="G143" s="199"/>
      <c r="H143" s="118"/>
      <c r="I143" s="26"/>
      <c r="J143" s="101" t="str">
        <f>IFERROR(MIN('MP Calculations'!$E$29/I143,1),"-")</f>
        <v>-</v>
      </c>
      <c r="K143" s="37"/>
      <c r="L143" s="26"/>
      <c r="M143" s="26"/>
      <c r="N143" s="26"/>
      <c r="O143" s="95" t="str">
        <f t="shared" si="4"/>
        <v>-</v>
      </c>
      <c r="P143" s="97" t="str">
        <f t="shared" si="7"/>
        <v>-</v>
      </c>
    </row>
    <row r="144" spans="3:16">
      <c r="C144" s="26"/>
      <c r="D144" s="115"/>
      <c r="E144" s="29"/>
      <c r="F144" s="92" t="str">
        <f t="shared" si="6"/>
        <v>-</v>
      </c>
      <c r="G144" s="199"/>
      <c r="H144" s="118"/>
      <c r="I144" s="26"/>
      <c r="J144" s="101" t="str">
        <f>IFERROR(MIN('MP Calculations'!$E$29/I144,1),"-")</f>
        <v>-</v>
      </c>
      <c r="K144" s="37"/>
      <c r="L144" s="26"/>
      <c r="M144" s="26"/>
      <c r="N144" s="26"/>
      <c r="O144" s="95" t="str">
        <f t="shared" si="4"/>
        <v>-</v>
      </c>
      <c r="P144" s="97" t="str">
        <f t="shared" si="7"/>
        <v>-</v>
      </c>
    </row>
    <row r="145" spans="3:16">
      <c r="C145" s="26"/>
      <c r="D145" s="115"/>
      <c r="E145" s="29"/>
      <c r="F145" s="92" t="str">
        <f t="shared" si="6"/>
        <v>-</v>
      </c>
      <c r="G145" s="199"/>
      <c r="H145" s="118"/>
      <c r="I145" s="26"/>
      <c r="J145" s="101" t="str">
        <f>IFERROR(MIN('MP Calculations'!$E$29/I145,1),"-")</f>
        <v>-</v>
      </c>
      <c r="K145" s="37"/>
      <c r="L145" s="26"/>
      <c r="M145" s="26"/>
      <c r="N145" s="26"/>
      <c r="O145" s="95" t="str">
        <f t="shared" si="4"/>
        <v>-</v>
      </c>
      <c r="P145" s="97" t="str">
        <f t="shared" si="7"/>
        <v>-</v>
      </c>
    </row>
    <row r="146" spans="3:16">
      <c r="C146" s="26"/>
      <c r="D146" s="115"/>
      <c r="E146" s="29"/>
      <c r="F146" s="92" t="str">
        <f t="shared" si="6"/>
        <v>-</v>
      </c>
      <c r="G146" s="199"/>
      <c r="H146" s="118"/>
      <c r="I146" s="26"/>
      <c r="J146" s="101" t="str">
        <f>IFERROR(MIN('MP Calculations'!$E$29/I146,1),"-")</f>
        <v>-</v>
      </c>
      <c r="K146" s="37"/>
      <c r="L146" s="26"/>
      <c r="M146" s="26"/>
      <c r="N146" s="26"/>
      <c r="O146" s="95" t="str">
        <f t="shared" si="4"/>
        <v>-</v>
      </c>
      <c r="P146" s="97" t="str">
        <f t="shared" si="7"/>
        <v>-</v>
      </c>
    </row>
    <row r="147" spans="3:16">
      <c r="C147" s="26"/>
      <c r="D147" s="115"/>
      <c r="E147" s="29"/>
      <c r="F147" s="92" t="str">
        <f t="shared" si="6"/>
        <v>-</v>
      </c>
      <c r="G147" s="199"/>
      <c r="H147" s="118"/>
      <c r="I147" s="26"/>
      <c r="J147" s="101" t="str">
        <f>IFERROR(MIN('MP Calculations'!$E$29/I147,1),"-")</f>
        <v>-</v>
      </c>
      <c r="K147" s="37"/>
      <c r="L147" s="26"/>
      <c r="M147" s="26"/>
      <c r="N147" s="26"/>
      <c r="O147" s="95" t="str">
        <f t="shared" si="4"/>
        <v>-</v>
      </c>
      <c r="P147" s="97" t="str">
        <f t="shared" si="7"/>
        <v>-</v>
      </c>
    </row>
    <row r="148" spans="3:16">
      <c r="C148" s="26"/>
      <c r="D148" s="115"/>
      <c r="E148" s="29"/>
      <c r="F148" s="92" t="str">
        <f t="shared" si="6"/>
        <v>-</v>
      </c>
      <c r="G148" s="199"/>
      <c r="H148" s="118"/>
      <c r="I148" s="26"/>
      <c r="J148" s="101" t="str">
        <f>IFERROR(MIN('MP Calculations'!$E$29/I148,1),"-")</f>
        <v>-</v>
      </c>
      <c r="K148" s="37"/>
      <c r="L148" s="26"/>
      <c r="M148" s="26"/>
      <c r="N148" s="26"/>
      <c r="O148" s="95" t="str">
        <f t="shared" si="4"/>
        <v>-</v>
      </c>
      <c r="P148" s="97" t="str">
        <f t="shared" si="7"/>
        <v>-</v>
      </c>
    </row>
    <row r="149" spans="3:16">
      <c r="C149" s="26"/>
      <c r="D149" s="115"/>
      <c r="E149" s="29"/>
      <c r="F149" s="92" t="str">
        <f t="shared" si="6"/>
        <v>-</v>
      </c>
      <c r="G149" s="199"/>
      <c r="H149" s="118"/>
      <c r="I149" s="26"/>
      <c r="J149" s="101" t="str">
        <f>IFERROR(MIN('MP Calculations'!$E$29/I149,1),"-")</f>
        <v>-</v>
      </c>
      <c r="K149" s="37"/>
      <c r="L149" s="26"/>
      <c r="M149" s="26"/>
      <c r="N149" s="26"/>
      <c r="O149" s="95" t="str">
        <f t="shared" si="4"/>
        <v>-</v>
      </c>
      <c r="P149" s="97" t="str">
        <f t="shared" si="7"/>
        <v>-</v>
      </c>
    </row>
    <row r="150" spans="3:16">
      <c r="C150" s="26"/>
      <c r="D150" s="115"/>
      <c r="E150" s="29"/>
      <c r="F150" s="92" t="str">
        <f t="shared" si="6"/>
        <v>-</v>
      </c>
      <c r="G150" s="199"/>
      <c r="H150" s="118"/>
      <c r="I150" s="26"/>
      <c r="J150" s="101" t="str">
        <f>IFERROR(MIN('MP Calculations'!$E$29/I150,1),"-")</f>
        <v>-</v>
      </c>
      <c r="K150" s="37"/>
      <c r="L150" s="26"/>
      <c r="M150" s="26"/>
      <c r="N150" s="26"/>
      <c r="O150" s="95" t="str">
        <f t="shared" si="4"/>
        <v>-</v>
      </c>
      <c r="P150" s="97" t="str">
        <f t="shared" si="7"/>
        <v>-</v>
      </c>
    </row>
    <row r="151" spans="3:16">
      <c r="C151" s="26"/>
      <c r="D151" s="115"/>
      <c r="E151" s="29"/>
      <c r="F151" s="92" t="str">
        <f t="shared" si="6"/>
        <v>-</v>
      </c>
      <c r="G151" s="199"/>
      <c r="H151" s="118"/>
      <c r="I151" s="26"/>
      <c r="J151" s="101" t="str">
        <f>IFERROR(MIN('MP Calculations'!$E$29/I151,1),"-")</f>
        <v>-</v>
      </c>
      <c r="K151" s="37"/>
      <c r="L151" s="26"/>
      <c r="M151" s="26"/>
      <c r="N151" s="26"/>
      <c r="O151" s="95" t="str">
        <f t="shared" ref="O151:O214" si="8">IF(N151="","-",L151*N151)</f>
        <v>-</v>
      </c>
      <c r="P151" s="97" t="str">
        <f t="shared" si="7"/>
        <v>-</v>
      </c>
    </row>
    <row r="152" spans="3:16">
      <c r="C152" s="26"/>
      <c r="D152" s="115"/>
      <c r="E152" s="29"/>
      <c r="F152" s="92" t="str">
        <f t="shared" si="6"/>
        <v>-</v>
      </c>
      <c r="G152" s="199"/>
      <c r="H152" s="118"/>
      <c r="I152" s="26"/>
      <c r="J152" s="101" t="str">
        <f>IFERROR(MIN('MP Calculations'!$E$29/I152,1),"-")</f>
        <v>-</v>
      </c>
      <c r="K152" s="37"/>
      <c r="L152" s="26"/>
      <c r="M152" s="26"/>
      <c r="N152" s="26"/>
      <c r="O152" s="95" t="str">
        <f t="shared" si="8"/>
        <v>-</v>
      </c>
      <c r="P152" s="97" t="str">
        <f t="shared" si="7"/>
        <v>-</v>
      </c>
    </row>
    <row r="153" spans="3:16">
      <c r="C153" s="26"/>
      <c r="D153" s="115"/>
      <c r="E153" s="29"/>
      <c r="F153" s="92" t="str">
        <f t="shared" si="6"/>
        <v>-</v>
      </c>
      <c r="G153" s="199"/>
      <c r="H153" s="118"/>
      <c r="I153" s="26"/>
      <c r="J153" s="101" t="str">
        <f>IFERROR(MIN('MP Calculations'!$E$29/I153,1),"-")</f>
        <v>-</v>
      </c>
      <c r="K153" s="37"/>
      <c r="L153" s="26"/>
      <c r="M153" s="26"/>
      <c r="N153" s="26"/>
      <c r="O153" s="95" t="str">
        <f t="shared" si="8"/>
        <v>-</v>
      </c>
      <c r="P153" s="97" t="str">
        <f t="shared" si="7"/>
        <v>-</v>
      </c>
    </row>
    <row r="154" spans="3:16">
      <c r="C154" s="26"/>
      <c r="D154" s="115"/>
      <c r="E154" s="29"/>
      <c r="F154" s="92" t="str">
        <f t="shared" si="6"/>
        <v>-</v>
      </c>
      <c r="G154" s="199"/>
      <c r="H154" s="118"/>
      <c r="I154" s="26"/>
      <c r="J154" s="101" t="str">
        <f>IFERROR(MIN('MP Calculations'!$E$29/I154,1),"-")</f>
        <v>-</v>
      </c>
      <c r="K154" s="37"/>
      <c r="L154" s="26"/>
      <c r="M154" s="26"/>
      <c r="N154" s="26"/>
      <c r="O154" s="95" t="str">
        <f t="shared" si="8"/>
        <v>-</v>
      </c>
      <c r="P154" s="97" t="str">
        <f t="shared" si="7"/>
        <v>-</v>
      </c>
    </row>
    <row r="155" spans="3:16">
      <c r="C155" s="26"/>
      <c r="D155" s="115"/>
      <c r="E155" s="29"/>
      <c r="F155" s="92" t="str">
        <f t="shared" si="6"/>
        <v>-</v>
      </c>
      <c r="G155" s="199"/>
      <c r="H155" s="118"/>
      <c r="I155" s="26"/>
      <c r="J155" s="101" t="str">
        <f>IFERROR(MIN('MP Calculations'!$E$29/I155,1),"-")</f>
        <v>-</v>
      </c>
      <c r="K155" s="37"/>
      <c r="L155" s="26"/>
      <c r="M155" s="26"/>
      <c r="N155" s="26"/>
      <c r="O155" s="95" t="str">
        <f t="shared" si="8"/>
        <v>-</v>
      </c>
      <c r="P155" s="97" t="str">
        <f t="shared" si="7"/>
        <v>-</v>
      </c>
    </row>
    <row r="156" spans="3:16">
      <c r="C156" s="26"/>
      <c r="D156" s="115"/>
      <c r="E156" s="29"/>
      <c r="F156" s="92" t="str">
        <f t="shared" si="6"/>
        <v>-</v>
      </c>
      <c r="G156" s="199"/>
      <c r="H156" s="118"/>
      <c r="I156" s="26"/>
      <c r="J156" s="101" t="str">
        <f>IFERROR(MIN('MP Calculations'!$E$29/I156,1),"-")</f>
        <v>-</v>
      </c>
      <c r="K156" s="37"/>
      <c r="L156" s="26"/>
      <c r="M156" s="26"/>
      <c r="N156" s="26"/>
      <c r="O156" s="95" t="str">
        <f t="shared" si="8"/>
        <v>-</v>
      </c>
      <c r="P156" s="97" t="str">
        <f t="shared" si="7"/>
        <v>-</v>
      </c>
    </row>
    <row r="157" spans="3:16">
      <c r="C157" s="26"/>
      <c r="D157" s="115"/>
      <c r="E157" s="29"/>
      <c r="F157" s="92" t="str">
        <f t="shared" si="6"/>
        <v>-</v>
      </c>
      <c r="G157" s="199"/>
      <c r="H157" s="118"/>
      <c r="I157" s="26"/>
      <c r="J157" s="101" t="str">
        <f>IFERROR(MIN('MP Calculations'!$E$29/I157,1),"-")</f>
        <v>-</v>
      </c>
      <c r="K157" s="37"/>
      <c r="L157" s="26"/>
      <c r="M157" s="26"/>
      <c r="N157" s="26"/>
      <c r="O157" s="95" t="str">
        <f t="shared" si="8"/>
        <v>-</v>
      </c>
      <c r="P157" s="97" t="str">
        <f t="shared" si="7"/>
        <v>-</v>
      </c>
    </row>
    <row r="158" spans="3:16">
      <c r="C158" s="26"/>
      <c r="D158" s="115"/>
      <c r="E158" s="29"/>
      <c r="F158" s="92" t="str">
        <f t="shared" si="6"/>
        <v>-</v>
      </c>
      <c r="G158" s="199"/>
      <c r="H158" s="118"/>
      <c r="I158" s="26"/>
      <c r="J158" s="101" t="str">
        <f>IFERROR(MIN('MP Calculations'!$E$29/I158,1),"-")</f>
        <v>-</v>
      </c>
      <c r="K158" s="37"/>
      <c r="L158" s="26"/>
      <c r="M158" s="26"/>
      <c r="N158" s="26"/>
      <c r="O158" s="95" t="str">
        <f t="shared" si="8"/>
        <v>-</v>
      </c>
      <c r="P158" s="97" t="str">
        <f t="shared" si="7"/>
        <v>-</v>
      </c>
    </row>
    <row r="159" spans="3:16">
      <c r="C159" s="26"/>
      <c r="D159" s="115"/>
      <c r="E159" s="29"/>
      <c r="F159" s="92" t="str">
        <f t="shared" si="6"/>
        <v>-</v>
      </c>
      <c r="G159" s="199"/>
      <c r="H159" s="118"/>
      <c r="I159" s="26"/>
      <c r="J159" s="101" t="str">
        <f>IFERROR(MIN('MP Calculations'!$E$29/I159,1),"-")</f>
        <v>-</v>
      </c>
      <c r="K159" s="37"/>
      <c r="L159" s="26"/>
      <c r="M159" s="26"/>
      <c r="N159" s="26"/>
      <c r="O159" s="95" t="str">
        <f t="shared" si="8"/>
        <v>-</v>
      </c>
      <c r="P159" s="97" t="str">
        <f t="shared" si="7"/>
        <v>-</v>
      </c>
    </row>
    <row r="160" spans="3:16">
      <c r="C160" s="26"/>
      <c r="D160" s="115"/>
      <c r="E160" s="29"/>
      <c r="F160" s="92" t="str">
        <f t="shared" si="6"/>
        <v>-</v>
      </c>
      <c r="G160" s="199"/>
      <c r="H160" s="118"/>
      <c r="I160" s="26"/>
      <c r="J160" s="101" t="str">
        <f>IFERROR(MIN('MP Calculations'!$E$29/I160,1),"-")</f>
        <v>-</v>
      </c>
      <c r="K160" s="37"/>
      <c r="L160" s="26"/>
      <c r="M160" s="26"/>
      <c r="N160" s="26"/>
      <c r="O160" s="95" t="str">
        <f t="shared" si="8"/>
        <v>-</v>
      </c>
      <c r="P160" s="97" t="str">
        <f t="shared" si="7"/>
        <v>-</v>
      </c>
    </row>
    <row r="161" spans="3:16">
      <c r="C161" s="26"/>
      <c r="D161" s="115"/>
      <c r="E161" s="29"/>
      <c r="F161" s="92" t="str">
        <f t="shared" si="6"/>
        <v>-</v>
      </c>
      <c r="G161" s="199"/>
      <c r="H161" s="118"/>
      <c r="I161" s="26"/>
      <c r="J161" s="101" t="str">
        <f>IFERROR(MIN('MP Calculations'!$E$29/I161,1),"-")</f>
        <v>-</v>
      </c>
      <c r="K161" s="37"/>
      <c r="L161" s="26"/>
      <c r="M161" s="26"/>
      <c r="N161" s="26"/>
      <c r="O161" s="95" t="str">
        <f t="shared" si="8"/>
        <v>-</v>
      </c>
      <c r="P161" s="97" t="str">
        <f t="shared" si="7"/>
        <v>-</v>
      </c>
    </row>
    <row r="162" spans="3:16">
      <c r="C162" s="26"/>
      <c r="D162" s="115"/>
      <c r="E162" s="29"/>
      <c r="F162" s="92" t="str">
        <f t="shared" si="6"/>
        <v>-</v>
      </c>
      <c r="G162" s="199"/>
      <c r="H162" s="118"/>
      <c r="I162" s="26"/>
      <c r="J162" s="101" t="str">
        <f>IFERROR(MIN('MP Calculations'!$E$29/I162,1),"-")</f>
        <v>-</v>
      </c>
      <c r="K162" s="37"/>
      <c r="L162" s="26"/>
      <c r="M162" s="26"/>
      <c r="N162" s="26"/>
      <c r="O162" s="95" t="str">
        <f t="shared" si="8"/>
        <v>-</v>
      </c>
      <c r="P162" s="97" t="str">
        <f t="shared" si="7"/>
        <v>-</v>
      </c>
    </row>
    <row r="163" spans="3:16">
      <c r="C163" s="26"/>
      <c r="D163" s="115"/>
      <c r="E163" s="29"/>
      <c r="F163" s="92" t="str">
        <f t="shared" si="6"/>
        <v>-</v>
      </c>
      <c r="G163" s="199"/>
      <c r="H163" s="118"/>
      <c r="I163" s="26"/>
      <c r="J163" s="101" t="str">
        <f>IFERROR(MIN('MP Calculations'!$E$29/I163,1),"-")</f>
        <v>-</v>
      </c>
      <c r="K163" s="37"/>
      <c r="L163" s="26"/>
      <c r="M163" s="26"/>
      <c r="N163" s="26"/>
      <c r="O163" s="95" t="str">
        <f t="shared" si="8"/>
        <v>-</v>
      </c>
      <c r="P163" s="97" t="str">
        <f t="shared" si="7"/>
        <v>-</v>
      </c>
    </row>
    <row r="164" spans="3:16">
      <c r="C164" s="26"/>
      <c r="D164" s="115"/>
      <c r="E164" s="29"/>
      <c r="F164" s="92" t="str">
        <f t="shared" si="6"/>
        <v>-</v>
      </c>
      <c r="G164" s="199"/>
      <c r="H164" s="118"/>
      <c r="I164" s="26"/>
      <c r="J164" s="101" t="str">
        <f>IFERROR(MIN('MP Calculations'!$E$29/I164,1),"-")</f>
        <v>-</v>
      </c>
      <c r="K164" s="37"/>
      <c r="L164" s="26"/>
      <c r="M164" s="26"/>
      <c r="N164" s="26"/>
      <c r="O164" s="95" t="str">
        <f t="shared" si="8"/>
        <v>-</v>
      </c>
      <c r="P164" s="97" t="str">
        <f t="shared" si="7"/>
        <v>-</v>
      </c>
    </row>
    <row r="165" spans="3:16">
      <c r="C165" s="26"/>
      <c r="D165" s="115"/>
      <c r="E165" s="29"/>
      <c r="F165" s="92" t="str">
        <f t="shared" si="6"/>
        <v>-</v>
      </c>
      <c r="G165" s="199"/>
      <c r="H165" s="118"/>
      <c r="I165" s="26"/>
      <c r="J165" s="101" t="str">
        <f>IFERROR(MIN('MP Calculations'!$E$29/I165,1),"-")</f>
        <v>-</v>
      </c>
      <c r="K165" s="37"/>
      <c r="L165" s="26"/>
      <c r="M165" s="26"/>
      <c r="N165" s="26"/>
      <c r="O165" s="95" t="str">
        <f t="shared" si="8"/>
        <v>-</v>
      </c>
      <c r="P165" s="97" t="str">
        <f t="shared" si="7"/>
        <v>-</v>
      </c>
    </row>
    <row r="166" spans="3:16">
      <c r="C166" s="26"/>
      <c r="D166" s="115"/>
      <c r="E166" s="29"/>
      <c r="F166" s="92" t="str">
        <f t="shared" si="6"/>
        <v>-</v>
      </c>
      <c r="G166" s="199"/>
      <c r="H166" s="118"/>
      <c r="I166" s="26"/>
      <c r="J166" s="101" t="str">
        <f>IFERROR(MIN('MP Calculations'!$E$29/I166,1),"-")</f>
        <v>-</v>
      </c>
      <c r="K166" s="37"/>
      <c r="L166" s="26"/>
      <c r="M166" s="26"/>
      <c r="N166" s="26"/>
      <c r="O166" s="95" t="str">
        <f t="shared" si="8"/>
        <v>-</v>
      </c>
      <c r="P166" s="97" t="str">
        <f t="shared" si="7"/>
        <v>-</v>
      </c>
    </row>
    <row r="167" spans="3:16">
      <c r="C167" s="26"/>
      <c r="D167" s="115"/>
      <c r="E167" s="29"/>
      <c r="F167" s="92" t="str">
        <f t="shared" si="6"/>
        <v>-</v>
      </c>
      <c r="G167" s="199"/>
      <c r="H167" s="118"/>
      <c r="I167" s="26"/>
      <c r="J167" s="101" t="str">
        <f>IFERROR(MIN('MP Calculations'!$E$29/I167,1),"-")</f>
        <v>-</v>
      </c>
      <c r="K167" s="37"/>
      <c r="L167" s="26"/>
      <c r="M167" s="26"/>
      <c r="N167" s="26"/>
      <c r="O167" s="95" t="str">
        <f t="shared" si="8"/>
        <v>-</v>
      </c>
      <c r="P167" s="97" t="str">
        <f t="shared" si="7"/>
        <v>-</v>
      </c>
    </row>
    <row r="168" spans="3:16">
      <c r="C168" s="26"/>
      <c r="D168" s="115"/>
      <c r="E168" s="29"/>
      <c r="F168" s="92" t="str">
        <f t="shared" si="6"/>
        <v>-</v>
      </c>
      <c r="G168" s="199"/>
      <c r="H168" s="118"/>
      <c r="I168" s="26"/>
      <c r="J168" s="101" t="str">
        <f>IFERROR(MIN('MP Calculations'!$E$29/I168,1),"-")</f>
        <v>-</v>
      </c>
      <c r="K168" s="37"/>
      <c r="L168" s="26"/>
      <c r="M168" s="26"/>
      <c r="N168" s="26"/>
      <c r="O168" s="95" t="str">
        <f t="shared" si="8"/>
        <v>-</v>
      </c>
      <c r="P168" s="97" t="str">
        <f t="shared" si="7"/>
        <v>-</v>
      </c>
    </row>
    <row r="169" spans="3:16">
      <c r="C169" s="26"/>
      <c r="D169" s="115"/>
      <c r="E169" s="29"/>
      <c r="F169" s="92" t="str">
        <f t="shared" si="6"/>
        <v>-</v>
      </c>
      <c r="G169" s="199"/>
      <c r="H169" s="118"/>
      <c r="I169" s="26"/>
      <c r="J169" s="101" t="str">
        <f>IFERROR(MIN('MP Calculations'!$E$29/I169,1),"-")</f>
        <v>-</v>
      </c>
      <c r="K169" s="37"/>
      <c r="L169" s="26"/>
      <c r="M169" s="26"/>
      <c r="N169" s="26"/>
      <c r="O169" s="95" t="str">
        <f t="shared" si="8"/>
        <v>-</v>
      </c>
      <c r="P169" s="97" t="str">
        <f t="shared" si="7"/>
        <v>-</v>
      </c>
    </row>
    <row r="170" spans="3:16">
      <c r="C170" s="26"/>
      <c r="D170" s="115"/>
      <c r="E170" s="29"/>
      <c r="F170" s="92" t="str">
        <f t="shared" si="6"/>
        <v>-</v>
      </c>
      <c r="G170" s="199"/>
      <c r="H170" s="118"/>
      <c r="I170" s="26"/>
      <c r="J170" s="101" t="str">
        <f>IFERROR(MIN('MP Calculations'!$E$29/I170,1),"-")</f>
        <v>-</v>
      </c>
      <c r="K170" s="37"/>
      <c r="L170" s="26"/>
      <c r="M170" s="26"/>
      <c r="N170" s="26"/>
      <c r="O170" s="95" t="str">
        <f t="shared" si="8"/>
        <v>-</v>
      </c>
      <c r="P170" s="97" t="str">
        <f t="shared" si="7"/>
        <v>-</v>
      </c>
    </row>
    <row r="171" spans="3:16">
      <c r="C171" s="26"/>
      <c r="D171" s="115"/>
      <c r="E171" s="29"/>
      <c r="F171" s="92" t="str">
        <f t="shared" si="6"/>
        <v>-</v>
      </c>
      <c r="G171" s="199"/>
      <c r="H171" s="118"/>
      <c r="I171" s="26"/>
      <c r="J171" s="101" t="str">
        <f>IFERROR(MIN('MP Calculations'!$E$29/I171,1),"-")</f>
        <v>-</v>
      </c>
      <c r="K171" s="37"/>
      <c r="L171" s="26"/>
      <c r="M171" s="26"/>
      <c r="N171" s="26"/>
      <c r="O171" s="95" t="str">
        <f t="shared" si="8"/>
        <v>-</v>
      </c>
      <c r="P171" s="97" t="str">
        <f t="shared" si="7"/>
        <v>-</v>
      </c>
    </row>
    <row r="172" spans="3:16">
      <c r="C172" s="26"/>
      <c r="D172" s="115"/>
      <c r="E172" s="29"/>
      <c r="F172" s="92" t="str">
        <f t="shared" si="6"/>
        <v>-</v>
      </c>
      <c r="G172" s="199"/>
      <c r="H172" s="118"/>
      <c r="I172" s="26"/>
      <c r="J172" s="101" t="str">
        <f>IFERROR(MIN('MP Calculations'!$E$29/I172,1),"-")</f>
        <v>-</v>
      </c>
      <c r="K172" s="37"/>
      <c r="L172" s="26"/>
      <c r="M172" s="26"/>
      <c r="N172" s="26"/>
      <c r="O172" s="95" t="str">
        <f t="shared" si="8"/>
        <v>-</v>
      </c>
      <c r="P172" s="97" t="str">
        <f t="shared" si="7"/>
        <v>-</v>
      </c>
    </row>
    <row r="173" spans="3:16">
      <c r="C173" s="26"/>
      <c r="D173" s="115"/>
      <c r="E173" s="29"/>
      <c r="F173" s="92" t="str">
        <f t="shared" si="6"/>
        <v>-</v>
      </c>
      <c r="G173" s="199"/>
      <c r="H173" s="118"/>
      <c r="I173" s="26"/>
      <c r="J173" s="101" t="str">
        <f>IFERROR(MIN('MP Calculations'!$E$29/I173,1),"-")</f>
        <v>-</v>
      </c>
      <c r="K173" s="37"/>
      <c r="L173" s="26"/>
      <c r="M173" s="26"/>
      <c r="N173" s="26"/>
      <c r="O173" s="95" t="str">
        <f t="shared" si="8"/>
        <v>-</v>
      </c>
      <c r="P173" s="97" t="str">
        <f t="shared" si="7"/>
        <v>-</v>
      </c>
    </row>
    <row r="174" spans="3:16">
      <c r="C174" s="26"/>
      <c r="D174" s="115"/>
      <c r="E174" s="29"/>
      <c r="F174" s="92" t="str">
        <f t="shared" si="6"/>
        <v>-</v>
      </c>
      <c r="G174" s="199"/>
      <c r="H174" s="118"/>
      <c r="I174" s="26"/>
      <c r="J174" s="101" t="str">
        <f>IFERROR(MIN('MP Calculations'!$E$29/I174,1),"-")</f>
        <v>-</v>
      </c>
      <c r="K174" s="37"/>
      <c r="L174" s="26"/>
      <c r="M174" s="26"/>
      <c r="N174" s="26"/>
      <c r="O174" s="95" t="str">
        <f t="shared" si="8"/>
        <v>-</v>
      </c>
      <c r="P174" s="97" t="str">
        <f t="shared" si="7"/>
        <v>-</v>
      </c>
    </row>
    <row r="175" spans="3:16">
      <c r="C175" s="26"/>
      <c r="D175" s="115"/>
      <c r="E175" s="29"/>
      <c r="F175" s="92" t="str">
        <f t="shared" si="6"/>
        <v>-</v>
      </c>
      <c r="G175" s="199"/>
      <c r="H175" s="118"/>
      <c r="I175" s="26"/>
      <c r="J175" s="101" t="str">
        <f>IFERROR(MIN('MP Calculations'!$E$29/I175,1),"-")</f>
        <v>-</v>
      </c>
      <c r="K175" s="37"/>
      <c r="L175" s="26"/>
      <c r="M175" s="26"/>
      <c r="N175" s="26"/>
      <c r="O175" s="95" t="str">
        <f t="shared" si="8"/>
        <v>-</v>
      </c>
      <c r="P175" s="97" t="str">
        <f t="shared" si="7"/>
        <v>-</v>
      </c>
    </row>
    <row r="176" spans="3:16">
      <c r="C176" s="26"/>
      <c r="D176" s="115"/>
      <c r="E176" s="29"/>
      <c r="F176" s="92" t="str">
        <f t="shared" si="6"/>
        <v>-</v>
      </c>
      <c r="G176" s="199"/>
      <c r="H176" s="118"/>
      <c r="I176" s="26"/>
      <c r="J176" s="101" t="str">
        <f>IFERROR(MIN('MP Calculations'!$E$29/I176,1),"-")</f>
        <v>-</v>
      </c>
      <c r="K176" s="37"/>
      <c r="L176" s="26"/>
      <c r="M176" s="26"/>
      <c r="N176" s="26"/>
      <c r="O176" s="95" t="str">
        <f t="shared" si="8"/>
        <v>-</v>
      </c>
      <c r="P176" s="97" t="str">
        <f t="shared" si="7"/>
        <v>-</v>
      </c>
    </row>
    <row r="177" spans="3:16">
      <c r="C177" s="26"/>
      <c r="D177" s="115"/>
      <c r="E177" s="29"/>
      <c r="F177" s="92" t="str">
        <f t="shared" si="6"/>
        <v>-</v>
      </c>
      <c r="G177" s="199"/>
      <c r="H177" s="118"/>
      <c r="I177" s="26"/>
      <c r="J177" s="101" t="str">
        <f>IFERROR(MIN('MP Calculations'!$E$29/I177,1),"-")</f>
        <v>-</v>
      </c>
      <c r="K177" s="37"/>
      <c r="L177" s="26"/>
      <c r="M177" s="26"/>
      <c r="N177" s="26"/>
      <c r="O177" s="95" t="str">
        <f t="shared" si="8"/>
        <v>-</v>
      </c>
      <c r="P177" s="97" t="str">
        <f t="shared" si="7"/>
        <v>-</v>
      </c>
    </row>
    <row r="178" spans="3:16">
      <c r="C178" s="26"/>
      <c r="D178" s="115"/>
      <c r="E178" s="29"/>
      <c r="F178" s="92" t="str">
        <f t="shared" si="6"/>
        <v>-</v>
      </c>
      <c r="G178" s="199"/>
      <c r="H178" s="118"/>
      <c r="I178" s="26"/>
      <c r="J178" s="101" t="str">
        <f>IFERROR(MIN('MP Calculations'!$E$29/I178,1),"-")</f>
        <v>-</v>
      </c>
      <c r="K178" s="37"/>
      <c r="L178" s="26"/>
      <c r="M178" s="26"/>
      <c r="N178" s="26"/>
      <c r="O178" s="95" t="str">
        <f t="shared" si="8"/>
        <v>-</v>
      </c>
      <c r="P178" s="97" t="str">
        <f t="shared" si="7"/>
        <v>-</v>
      </c>
    </row>
    <row r="179" spans="3:16">
      <c r="C179" s="26"/>
      <c r="D179" s="115"/>
      <c r="E179" s="29"/>
      <c r="F179" s="92" t="str">
        <f t="shared" si="6"/>
        <v>-</v>
      </c>
      <c r="G179" s="199"/>
      <c r="H179" s="118"/>
      <c r="I179" s="26"/>
      <c r="J179" s="101" t="str">
        <f>IFERROR(MIN('MP Calculations'!$E$29/I179,1),"-")</f>
        <v>-</v>
      </c>
      <c r="K179" s="37"/>
      <c r="L179" s="26"/>
      <c r="M179" s="26"/>
      <c r="N179" s="26"/>
      <c r="O179" s="95" t="str">
        <f t="shared" si="8"/>
        <v>-</v>
      </c>
      <c r="P179" s="97" t="str">
        <f t="shared" si="7"/>
        <v>-</v>
      </c>
    </row>
    <row r="180" spans="3:16">
      <c r="C180" s="26"/>
      <c r="D180" s="115"/>
      <c r="E180" s="29"/>
      <c r="F180" s="92" t="str">
        <f t="shared" si="6"/>
        <v>-</v>
      </c>
      <c r="G180" s="199"/>
      <c r="H180" s="118"/>
      <c r="I180" s="26"/>
      <c r="J180" s="101" t="str">
        <f>IFERROR(MIN('MP Calculations'!$E$29/I180,1),"-")</f>
        <v>-</v>
      </c>
      <c r="K180" s="37"/>
      <c r="L180" s="26"/>
      <c r="M180" s="26"/>
      <c r="N180" s="26"/>
      <c r="O180" s="95" t="str">
        <f t="shared" si="8"/>
        <v>-</v>
      </c>
      <c r="P180" s="97" t="str">
        <f t="shared" si="7"/>
        <v>-</v>
      </c>
    </row>
    <row r="181" spans="3:16">
      <c r="C181" s="26"/>
      <c r="D181" s="115"/>
      <c r="E181" s="29"/>
      <c r="F181" s="92" t="str">
        <f t="shared" si="6"/>
        <v>-</v>
      </c>
      <c r="G181" s="199"/>
      <c r="H181" s="118"/>
      <c r="I181" s="26"/>
      <c r="J181" s="101" t="str">
        <f>IFERROR(MIN('MP Calculations'!$E$29/I181,1),"-")</f>
        <v>-</v>
      </c>
      <c r="K181" s="37"/>
      <c r="L181" s="26"/>
      <c r="M181" s="26"/>
      <c r="N181" s="26"/>
      <c r="O181" s="95" t="str">
        <f t="shared" si="8"/>
        <v>-</v>
      </c>
      <c r="P181" s="97" t="str">
        <f t="shared" si="7"/>
        <v>-</v>
      </c>
    </row>
    <row r="182" spans="3:16">
      <c r="C182" s="26"/>
      <c r="D182" s="115"/>
      <c r="E182" s="29"/>
      <c r="F182" s="92" t="str">
        <f t="shared" si="6"/>
        <v>-</v>
      </c>
      <c r="G182" s="199"/>
      <c r="H182" s="118"/>
      <c r="I182" s="26"/>
      <c r="J182" s="101" t="str">
        <f>IFERROR(MIN('MP Calculations'!$E$29/I182,1),"-")</f>
        <v>-</v>
      </c>
      <c r="K182" s="37"/>
      <c r="L182" s="26"/>
      <c r="M182" s="26"/>
      <c r="N182" s="26"/>
      <c r="O182" s="95" t="str">
        <f t="shared" si="8"/>
        <v>-</v>
      </c>
      <c r="P182" s="97" t="str">
        <f t="shared" si="7"/>
        <v>-</v>
      </c>
    </row>
    <row r="183" spans="3:16">
      <c r="C183" s="26"/>
      <c r="D183" s="115"/>
      <c r="E183" s="29"/>
      <c r="F183" s="92" t="str">
        <f t="shared" si="6"/>
        <v>-</v>
      </c>
      <c r="G183" s="199"/>
      <c r="H183" s="118"/>
      <c r="I183" s="26"/>
      <c r="J183" s="101" t="str">
        <f>IFERROR(MIN('MP Calculations'!$E$29/I183,1),"-")</f>
        <v>-</v>
      </c>
      <c r="K183" s="37"/>
      <c r="L183" s="26"/>
      <c r="M183" s="26"/>
      <c r="N183" s="26"/>
      <c r="O183" s="95" t="str">
        <f t="shared" si="8"/>
        <v>-</v>
      </c>
      <c r="P183" s="97" t="str">
        <f t="shared" si="7"/>
        <v>-</v>
      </c>
    </row>
    <row r="184" spans="3:16">
      <c r="C184" s="26"/>
      <c r="D184" s="115"/>
      <c r="E184" s="29"/>
      <c r="F184" s="92" t="str">
        <f t="shared" ref="F184:F217" si="9">IF(E184="","-",IF(OR(E184&lt;$E$15,E184&gt;$E$16),"ERROR - date outside of range","Date check - OK"))</f>
        <v>-</v>
      </c>
      <c r="G184" s="199"/>
      <c r="H184" s="118"/>
      <c r="I184" s="26"/>
      <c r="J184" s="101" t="str">
        <f>IFERROR(MIN('MP Calculations'!$E$29/I184,1),"-")</f>
        <v>-</v>
      </c>
      <c r="K184" s="37"/>
      <c r="L184" s="26"/>
      <c r="M184" s="26"/>
      <c r="N184" s="26"/>
      <c r="O184" s="95" t="str">
        <f t="shared" si="8"/>
        <v>-</v>
      </c>
      <c r="P184" s="97" t="str">
        <f t="shared" ref="P184:P217" si="10">IF(O184="-","-",IF(OR(E184&lt;$E$15,E184&gt;$E$16),0,O184*J184))</f>
        <v>-</v>
      </c>
    </row>
    <row r="185" spans="3:16">
      <c r="C185" s="26"/>
      <c r="D185" s="115"/>
      <c r="E185" s="29"/>
      <c r="F185" s="92" t="str">
        <f t="shared" si="9"/>
        <v>-</v>
      </c>
      <c r="G185" s="199"/>
      <c r="H185" s="118"/>
      <c r="I185" s="26"/>
      <c r="J185" s="101" t="str">
        <f>IFERROR(MIN('MP Calculations'!$E$29/I185,1),"-")</f>
        <v>-</v>
      </c>
      <c r="K185" s="37"/>
      <c r="L185" s="26"/>
      <c r="M185" s="26"/>
      <c r="N185" s="26"/>
      <c r="O185" s="95" t="str">
        <f t="shared" si="8"/>
        <v>-</v>
      </c>
      <c r="P185" s="97" t="str">
        <f t="shared" si="10"/>
        <v>-</v>
      </c>
    </row>
    <row r="186" spans="3:16">
      <c r="C186" s="26"/>
      <c r="D186" s="115"/>
      <c r="E186" s="29"/>
      <c r="F186" s="92" t="str">
        <f t="shared" si="9"/>
        <v>-</v>
      </c>
      <c r="G186" s="199"/>
      <c r="H186" s="118"/>
      <c r="I186" s="26"/>
      <c r="J186" s="101" t="str">
        <f>IFERROR(MIN('MP Calculations'!$E$29/I186,1),"-")</f>
        <v>-</v>
      </c>
      <c r="K186" s="37"/>
      <c r="L186" s="26"/>
      <c r="M186" s="26"/>
      <c r="N186" s="26"/>
      <c r="O186" s="95" t="str">
        <f t="shared" si="8"/>
        <v>-</v>
      </c>
      <c r="P186" s="97" t="str">
        <f t="shared" si="10"/>
        <v>-</v>
      </c>
    </row>
    <row r="187" spans="3:16">
      <c r="C187" s="26"/>
      <c r="D187" s="115"/>
      <c r="E187" s="29"/>
      <c r="F187" s="92" t="str">
        <f t="shared" si="9"/>
        <v>-</v>
      </c>
      <c r="G187" s="199"/>
      <c r="H187" s="118"/>
      <c r="I187" s="26"/>
      <c r="J187" s="101" t="str">
        <f>IFERROR(MIN('MP Calculations'!$E$29/I187,1),"-")</f>
        <v>-</v>
      </c>
      <c r="K187" s="37"/>
      <c r="L187" s="26"/>
      <c r="M187" s="26"/>
      <c r="N187" s="26"/>
      <c r="O187" s="95" t="str">
        <f t="shared" si="8"/>
        <v>-</v>
      </c>
      <c r="P187" s="97" t="str">
        <f t="shared" si="10"/>
        <v>-</v>
      </c>
    </row>
    <row r="188" spans="3:16">
      <c r="C188" s="26"/>
      <c r="D188" s="115"/>
      <c r="E188" s="29"/>
      <c r="F188" s="92" t="str">
        <f t="shared" si="9"/>
        <v>-</v>
      </c>
      <c r="G188" s="199"/>
      <c r="H188" s="118"/>
      <c r="I188" s="26"/>
      <c r="J188" s="101" t="str">
        <f>IFERROR(MIN('MP Calculations'!$E$29/I188,1),"-")</f>
        <v>-</v>
      </c>
      <c r="K188" s="37"/>
      <c r="L188" s="26"/>
      <c r="M188" s="26"/>
      <c r="N188" s="26"/>
      <c r="O188" s="95" t="str">
        <f t="shared" si="8"/>
        <v>-</v>
      </c>
      <c r="P188" s="97" t="str">
        <f t="shared" si="10"/>
        <v>-</v>
      </c>
    </row>
    <row r="189" spans="3:16">
      <c r="C189" s="26"/>
      <c r="D189" s="115"/>
      <c r="E189" s="29"/>
      <c r="F189" s="92" t="str">
        <f t="shared" si="9"/>
        <v>-</v>
      </c>
      <c r="G189" s="199"/>
      <c r="H189" s="118"/>
      <c r="I189" s="26"/>
      <c r="J189" s="101" t="str">
        <f>IFERROR(MIN('MP Calculations'!$E$29/I189,1),"-")</f>
        <v>-</v>
      </c>
      <c r="K189" s="37"/>
      <c r="L189" s="26"/>
      <c r="M189" s="26"/>
      <c r="N189" s="26"/>
      <c r="O189" s="95" t="str">
        <f t="shared" si="8"/>
        <v>-</v>
      </c>
      <c r="P189" s="97" t="str">
        <f t="shared" si="10"/>
        <v>-</v>
      </c>
    </row>
    <row r="190" spans="3:16">
      <c r="C190" s="26"/>
      <c r="D190" s="115"/>
      <c r="E190" s="29"/>
      <c r="F190" s="92" t="str">
        <f t="shared" si="9"/>
        <v>-</v>
      </c>
      <c r="G190" s="199"/>
      <c r="H190" s="118"/>
      <c r="I190" s="26"/>
      <c r="J190" s="101" t="str">
        <f>IFERROR(MIN('MP Calculations'!$E$29/I190,1),"-")</f>
        <v>-</v>
      </c>
      <c r="K190" s="37"/>
      <c r="L190" s="26"/>
      <c r="M190" s="26"/>
      <c r="N190" s="26"/>
      <c r="O190" s="95" t="str">
        <f t="shared" si="8"/>
        <v>-</v>
      </c>
      <c r="P190" s="97" t="str">
        <f t="shared" si="10"/>
        <v>-</v>
      </c>
    </row>
    <row r="191" spans="3:16">
      <c r="C191" s="26"/>
      <c r="D191" s="115"/>
      <c r="E191" s="29"/>
      <c r="F191" s="92" t="str">
        <f t="shared" si="9"/>
        <v>-</v>
      </c>
      <c r="G191" s="199"/>
      <c r="H191" s="118"/>
      <c r="I191" s="26"/>
      <c r="J191" s="101" t="str">
        <f>IFERROR(MIN('MP Calculations'!$E$29/I191,1),"-")</f>
        <v>-</v>
      </c>
      <c r="K191" s="37"/>
      <c r="L191" s="26"/>
      <c r="M191" s="26"/>
      <c r="N191" s="26"/>
      <c r="O191" s="95" t="str">
        <f t="shared" si="8"/>
        <v>-</v>
      </c>
      <c r="P191" s="97" t="str">
        <f t="shared" si="10"/>
        <v>-</v>
      </c>
    </row>
    <row r="192" spans="3:16">
      <c r="C192" s="26"/>
      <c r="D192" s="115"/>
      <c r="E192" s="29"/>
      <c r="F192" s="92" t="str">
        <f t="shared" si="9"/>
        <v>-</v>
      </c>
      <c r="G192" s="199"/>
      <c r="H192" s="118"/>
      <c r="I192" s="26"/>
      <c r="J192" s="101" t="str">
        <f>IFERROR(MIN('MP Calculations'!$E$29/I192,1),"-")</f>
        <v>-</v>
      </c>
      <c r="K192" s="37"/>
      <c r="L192" s="26"/>
      <c r="M192" s="26"/>
      <c r="N192" s="26"/>
      <c r="O192" s="95" t="str">
        <f t="shared" si="8"/>
        <v>-</v>
      </c>
      <c r="P192" s="97" t="str">
        <f t="shared" si="10"/>
        <v>-</v>
      </c>
    </row>
    <row r="193" spans="3:16">
      <c r="C193" s="26"/>
      <c r="D193" s="115"/>
      <c r="E193" s="29"/>
      <c r="F193" s="92" t="str">
        <f t="shared" si="9"/>
        <v>-</v>
      </c>
      <c r="G193" s="199"/>
      <c r="H193" s="118"/>
      <c r="I193" s="26"/>
      <c r="J193" s="101" t="str">
        <f>IFERROR(MIN('MP Calculations'!$E$29/I193,1),"-")</f>
        <v>-</v>
      </c>
      <c r="K193" s="37"/>
      <c r="L193" s="26"/>
      <c r="M193" s="26"/>
      <c r="N193" s="26"/>
      <c r="O193" s="95" t="str">
        <f t="shared" si="8"/>
        <v>-</v>
      </c>
      <c r="P193" s="97" t="str">
        <f t="shared" si="10"/>
        <v>-</v>
      </c>
    </row>
    <row r="194" spans="3:16">
      <c r="C194" s="26"/>
      <c r="D194" s="115"/>
      <c r="E194" s="29"/>
      <c r="F194" s="92" t="str">
        <f t="shared" si="9"/>
        <v>-</v>
      </c>
      <c r="G194" s="199"/>
      <c r="H194" s="118"/>
      <c r="I194" s="26"/>
      <c r="J194" s="101" t="str">
        <f>IFERROR(MIN('MP Calculations'!$E$29/I194,1),"-")</f>
        <v>-</v>
      </c>
      <c r="K194" s="37"/>
      <c r="L194" s="26"/>
      <c r="M194" s="26"/>
      <c r="N194" s="26"/>
      <c r="O194" s="95" t="str">
        <f t="shared" si="8"/>
        <v>-</v>
      </c>
      <c r="P194" s="97" t="str">
        <f t="shared" si="10"/>
        <v>-</v>
      </c>
    </row>
    <row r="195" spans="3:16">
      <c r="C195" s="26"/>
      <c r="D195" s="115"/>
      <c r="E195" s="29"/>
      <c r="F195" s="92" t="str">
        <f t="shared" si="9"/>
        <v>-</v>
      </c>
      <c r="G195" s="199"/>
      <c r="H195" s="118"/>
      <c r="I195" s="26"/>
      <c r="J195" s="101" t="str">
        <f>IFERROR(MIN('MP Calculations'!$E$29/I195,1),"-")</f>
        <v>-</v>
      </c>
      <c r="K195" s="37"/>
      <c r="L195" s="26"/>
      <c r="M195" s="26"/>
      <c r="N195" s="26"/>
      <c r="O195" s="95" t="str">
        <f t="shared" si="8"/>
        <v>-</v>
      </c>
      <c r="P195" s="97" t="str">
        <f t="shared" si="10"/>
        <v>-</v>
      </c>
    </row>
    <row r="196" spans="3:16">
      <c r="C196" s="26"/>
      <c r="D196" s="115"/>
      <c r="E196" s="29"/>
      <c r="F196" s="92" t="str">
        <f t="shared" si="9"/>
        <v>-</v>
      </c>
      <c r="G196" s="199"/>
      <c r="H196" s="118"/>
      <c r="I196" s="26"/>
      <c r="J196" s="101" t="str">
        <f>IFERROR(MIN('MP Calculations'!$E$29/I196,1),"-")</f>
        <v>-</v>
      </c>
      <c r="K196" s="37"/>
      <c r="L196" s="26"/>
      <c r="M196" s="26"/>
      <c r="N196" s="26"/>
      <c r="O196" s="95" t="str">
        <f t="shared" si="8"/>
        <v>-</v>
      </c>
      <c r="P196" s="97" t="str">
        <f t="shared" si="10"/>
        <v>-</v>
      </c>
    </row>
    <row r="197" spans="3:16">
      <c r="C197" s="26"/>
      <c r="D197" s="115"/>
      <c r="E197" s="29"/>
      <c r="F197" s="92" t="str">
        <f t="shared" si="9"/>
        <v>-</v>
      </c>
      <c r="G197" s="199"/>
      <c r="H197" s="118"/>
      <c r="I197" s="26"/>
      <c r="J197" s="101" t="str">
        <f>IFERROR(MIN('MP Calculations'!$E$29/I197,1),"-")</f>
        <v>-</v>
      </c>
      <c r="K197" s="37"/>
      <c r="L197" s="26"/>
      <c r="M197" s="26"/>
      <c r="N197" s="26"/>
      <c r="O197" s="95" t="str">
        <f t="shared" si="8"/>
        <v>-</v>
      </c>
      <c r="P197" s="97" t="str">
        <f t="shared" si="10"/>
        <v>-</v>
      </c>
    </row>
    <row r="198" spans="3:16">
      <c r="C198" s="26"/>
      <c r="D198" s="115"/>
      <c r="E198" s="29"/>
      <c r="F198" s="92" t="str">
        <f t="shared" si="9"/>
        <v>-</v>
      </c>
      <c r="G198" s="199"/>
      <c r="H198" s="118"/>
      <c r="I198" s="26"/>
      <c r="J198" s="101" t="str">
        <f>IFERROR(MIN('MP Calculations'!$E$29/I198,1),"-")</f>
        <v>-</v>
      </c>
      <c r="K198" s="37"/>
      <c r="L198" s="26"/>
      <c r="M198" s="26"/>
      <c r="N198" s="26"/>
      <c r="O198" s="95" t="str">
        <f t="shared" si="8"/>
        <v>-</v>
      </c>
      <c r="P198" s="97" t="str">
        <f t="shared" si="10"/>
        <v>-</v>
      </c>
    </row>
    <row r="199" spans="3:16">
      <c r="C199" s="26"/>
      <c r="D199" s="115"/>
      <c r="E199" s="29"/>
      <c r="F199" s="92" t="str">
        <f t="shared" si="9"/>
        <v>-</v>
      </c>
      <c r="G199" s="199"/>
      <c r="H199" s="118"/>
      <c r="I199" s="26"/>
      <c r="J199" s="101" t="str">
        <f>IFERROR(MIN('MP Calculations'!$E$29/I199,1),"-")</f>
        <v>-</v>
      </c>
      <c r="K199" s="37"/>
      <c r="L199" s="26"/>
      <c r="M199" s="26"/>
      <c r="N199" s="26"/>
      <c r="O199" s="95" t="str">
        <f t="shared" si="8"/>
        <v>-</v>
      </c>
      <c r="P199" s="97" t="str">
        <f t="shared" si="10"/>
        <v>-</v>
      </c>
    </row>
    <row r="200" spans="3:16">
      <c r="C200" s="26"/>
      <c r="D200" s="115"/>
      <c r="E200" s="29"/>
      <c r="F200" s="92" t="str">
        <f t="shared" si="9"/>
        <v>-</v>
      </c>
      <c r="G200" s="199"/>
      <c r="H200" s="118"/>
      <c r="I200" s="26"/>
      <c r="J200" s="101" t="str">
        <f>IFERROR(MIN('MP Calculations'!$E$29/I200,1),"-")</f>
        <v>-</v>
      </c>
      <c r="K200" s="37"/>
      <c r="L200" s="26"/>
      <c r="M200" s="26"/>
      <c r="N200" s="26"/>
      <c r="O200" s="95" t="str">
        <f t="shared" si="8"/>
        <v>-</v>
      </c>
      <c r="P200" s="97" t="str">
        <f t="shared" si="10"/>
        <v>-</v>
      </c>
    </row>
    <row r="201" spans="3:16">
      <c r="C201" s="26"/>
      <c r="D201" s="115"/>
      <c r="E201" s="29"/>
      <c r="F201" s="92" t="str">
        <f t="shared" si="9"/>
        <v>-</v>
      </c>
      <c r="G201" s="199"/>
      <c r="H201" s="118"/>
      <c r="I201" s="26"/>
      <c r="J201" s="101" t="str">
        <f>IFERROR(MIN('MP Calculations'!$E$29/I201,1),"-")</f>
        <v>-</v>
      </c>
      <c r="K201" s="37"/>
      <c r="L201" s="26"/>
      <c r="M201" s="26"/>
      <c r="N201" s="26"/>
      <c r="O201" s="95" t="str">
        <f t="shared" si="8"/>
        <v>-</v>
      </c>
      <c r="P201" s="97" t="str">
        <f t="shared" si="10"/>
        <v>-</v>
      </c>
    </row>
    <row r="202" spans="3:16">
      <c r="C202" s="26"/>
      <c r="D202" s="115"/>
      <c r="E202" s="29"/>
      <c r="F202" s="92" t="str">
        <f t="shared" si="9"/>
        <v>-</v>
      </c>
      <c r="G202" s="199"/>
      <c r="H202" s="118"/>
      <c r="I202" s="26"/>
      <c r="J202" s="101" t="str">
        <f>IFERROR(MIN('MP Calculations'!$E$29/I202,1),"-")</f>
        <v>-</v>
      </c>
      <c r="K202" s="37"/>
      <c r="L202" s="26"/>
      <c r="M202" s="26"/>
      <c r="N202" s="26"/>
      <c r="O202" s="95" t="str">
        <f t="shared" si="8"/>
        <v>-</v>
      </c>
      <c r="P202" s="97" t="str">
        <f t="shared" si="10"/>
        <v>-</v>
      </c>
    </row>
    <row r="203" spans="3:16">
      <c r="C203" s="26"/>
      <c r="D203" s="115"/>
      <c r="E203" s="29"/>
      <c r="F203" s="92" t="str">
        <f t="shared" si="9"/>
        <v>-</v>
      </c>
      <c r="G203" s="199"/>
      <c r="H203" s="118"/>
      <c r="I203" s="26"/>
      <c r="J203" s="101" t="str">
        <f>IFERROR(MIN('MP Calculations'!$E$29/I203,1),"-")</f>
        <v>-</v>
      </c>
      <c r="K203" s="37"/>
      <c r="L203" s="26"/>
      <c r="M203" s="26"/>
      <c r="N203" s="26"/>
      <c r="O203" s="95" t="str">
        <f t="shared" si="8"/>
        <v>-</v>
      </c>
      <c r="P203" s="97" t="str">
        <f t="shared" si="10"/>
        <v>-</v>
      </c>
    </row>
    <row r="204" spans="3:16">
      <c r="C204" s="26"/>
      <c r="D204" s="115"/>
      <c r="E204" s="29"/>
      <c r="F204" s="92" t="str">
        <f t="shared" si="9"/>
        <v>-</v>
      </c>
      <c r="G204" s="199"/>
      <c r="H204" s="118"/>
      <c r="I204" s="26"/>
      <c r="J204" s="101" t="str">
        <f>IFERROR(MIN('MP Calculations'!$E$29/I204,1),"-")</f>
        <v>-</v>
      </c>
      <c r="K204" s="37"/>
      <c r="L204" s="26"/>
      <c r="M204" s="26"/>
      <c r="N204" s="26"/>
      <c r="O204" s="95" t="str">
        <f t="shared" si="8"/>
        <v>-</v>
      </c>
      <c r="P204" s="97" t="str">
        <f t="shared" si="10"/>
        <v>-</v>
      </c>
    </row>
    <row r="205" spans="3:16">
      <c r="C205" s="26"/>
      <c r="D205" s="115"/>
      <c r="E205" s="29"/>
      <c r="F205" s="92" t="str">
        <f t="shared" si="9"/>
        <v>-</v>
      </c>
      <c r="G205" s="199"/>
      <c r="H205" s="118"/>
      <c r="I205" s="26"/>
      <c r="J205" s="101" t="str">
        <f>IFERROR(MIN('MP Calculations'!$E$29/I205,1),"-")</f>
        <v>-</v>
      </c>
      <c r="K205" s="37"/>
      <c r="L205" s="26"/>
      <c r="M205" s="26"/>
      <c r="N205" s="26"/>
      <c r="O205" s="95" t="str">
        <f t="shared" si="8"/>
        <v>-</v>
      </c>
      <c r="P205" s="97" t="str">
        <f t="shared" si="10"/>
        <v>-</v>
      </c>
    </row>
    <row r="206" spans="3:16">
      <c r="C206" s="26"/>
      <c r="D206" s="115"/>
      <c r="E206" s="29"/>
      <c r="F206" s="92" t="str">
        <f t="shared" si="9"/>
        <v>-</v>
      </c>
      <c r="G206" s="199"/>
      <c r="H206" s="118"/>
      <c r="I206" s="26"/>
      <c r="J206" s="101" t="str">
        <f>IFERROR(MIN('MP Calculations'!$E$29/I206,1),"-")</f>
        <v>-</v>
      </c>
      <c r="K206" s="37"/>
      <c r="L206" s="26"/>
      <c r="M206" s="26"/>
      <c r="N206" s="26"/>
      <c r="O206" s="95" t="str">
        <f t="shared" si="8"/>
        <v>-</v>
      </c>
      <c r="P206" s="97" t="str">
        <f t="shared" si="10"/>
        <v>-</v>
      </c>
    </row>
    <row r="207" spans="3:16">
      <c r="C207" s="26"/>
      <c r="D207" s="115"/>
      <c r="E207" s="29"/>
      <c r="F207" s="92" t="str">
        <f t="shared" si="9"/>
        <v>-</v>
      </c>
      <c r="G207" s="199"/>
      <c r="H207" s="118"/>
      <c r="I207" s="26"/>
      <c r="J207" s="101" t="str">
        <f>IFERROR(MIN('MP Calculations'!$E$29/I207,1),"-")</f>
        <v>-</v>
      </c>
      <c r="K207" s="37"/>
      <c r="L207" s="26"/>
      <c r="M207" s="26"/>
      <c r="N207" s="26"/>
      <c r="O207" s="95" t="str">
        <f t="shared" si="8"/>
        <v>-</v>
      </c>
      <c r="P207" s="97" t="str">
        <f t="shared" si="10"/>
        <v>-</v>
      </c>
    </row>
    <row r="208" spans="3:16">
      <c r="C208" s="26"/>
      <c r="D208" s="115"/>
      <c r="E208" s="29"/>
      <c r="F208" s="92" t="str">
        <f t="shared" si="9"/>
        <v>-</v>
      </c>
      <c r="G208" s="199"/>
      <c r="H208" s="118"/>
      <c r="I208" s="26"/>
      <c r="J208" s="101" t="str">
        <f>IFERROR(MIN('MP Calculations'!$E$29/I208,1),"-")</f>
        <v>-</v>
      </c>
      <c r="K208" s="37"/>
      <c r="L208" s="26"/>
      <c r="M208" s="26"/>
      <c r="N208" s="26"/>
      <c r="O208" s="95" t="str">
        <f t="shared" si="8"/>
        <v>-</v>
      </c>
      <c r="P208" s="97" t="str">
        <f t="shared" si="10"/>
        <v>-</v>
      </c>
    </row>
    <row r="209" spans="3:16">
      <c r="C209" s="26"/>
      <c r="D209" s="115"/>
      <c r="E209" s="29"/>
      <c r="F209" s="92" t="str">
        <f t="shared" si="9"/>
        <v>-</v>
      </c>
      <c r="G209" s="199"/>
      <c r="H209" s="118"/>
      <c r="I209" s="26"/>
      <c r="J209" s="101" t="str">
        <f>IFERROR(MIN('MP Calculations'!$E$29/I209,1),"-")</f>
        <v>-</v>
      </c>
      <c r="K209" s="37"/>
      <c r="L209" s="26"/>
      <c r="M209" s="26"/>
      <c r="N209" s="26"/>
      <c r="O209" s="95" t="str">
        <f t="shared" si="8"/>
        <v>-</v>
      </c>
      <c r="P209" s="97" t="str">
        <f t="shared" si="10"/>
        <v>-</v>
      </c>
    </row>
    <row r="210" spans="3:16">
      <c r="C210" s="26"/>
      <c r="D210" s="115"/>
      <c r="E210" s="29"/>
      <c r="F210" s="92" t="str">
        <f t="shared" si="9"/>
        <v>-</v>
      </c>
      <c r="G210" s="199"/>
      <c r="H210" s="118"/>
      <c r="I210" s="26"/>
      <c r="J210" s="101" t="str">
        <f>IFERROR(MIN('MP Calculations'!$E$29/I210,1),"-")</f>
        <v>-</v>
      </c>
      <c r="K210" s="37"/>
      <c r="L210" s="26"/>
      <c r="M210" s="26"/>
      <c r="N210" s="26"/>
      <c r="O210" s="95" t="str">
        <f t="shared" si="8"/>
        <v>-</v>
      </c>
      <c r="P210" s="97" t="str">
        <f t="shared" si="10"/>
        <v>-</v>
      </c>
    </row>
    <row r="211" spans="3:16">
      <c r="C211" s="26"/>
      <c r="D211" s="115"/>
      <c r="E211" s="29"/>
      <c r="F211" s="92" t="str">
        <f t="shared" si="9"/>
        <v>-</v>
      </c>
      <c r="G211" s="199"/>
      <c r="H211" s="118"/>
      <c r="I211" s="26"/>
      <c r="J211" s="101" t="str">
        <f>IFERROR(MIN('MP Calculations'!$E$29/I211,1),"-")</f>
        <v>-</v>
      </c>
      <c r="K211" s="37"/>
      <c r="L211" s="26"/>
      <c r="M211" s="26"/>
      <c r="N211" s="26"/>
      <c r="O211" s="95" t="str">
        <f t="shared" si="8"/>
        <v>-</v>
      </c>
      <c r="P211" s="97" t="str">
        <f t="shared" si="10"/>
        <v>-</v>
      </c>
    </row>
    <row r="212" spans="3:16">
      <c r="C212" s="26"/>
      <c r="D212" s="115"/>
      <c r="E212" s="29"/>
      <c r="F212" s="92" t="str">
        <f t="shared" si="9"/>
        <v>-</v>
      </c>
      <c r="G212" s="199"/>
      <c r="H212" s="118"/>
      <c r="I212" s="26"/>
      <c r="J212" s="101" t="str">
        <f>IFERROR(MIN('MP Calculations'!$E$29/I212,1),"-")</f>
        <v>-</v>
      </c>
      <c r="K212" s="37"/>
      <c r="L212" s="26"/>
      <c r="M212" s="26"/>
      <c r="N212" s="26"/>
      <c r="O212" s="95" t="str">
        <f t="shared" si="8"/>
        <v>-</v>
      </c>
      <c r="P212" s="97" t="str">
        <f t="shared" si="10"/>
        <v>-</v>
      </c>
    </row>
    <row r="213" spans="3:16">
      <c r="C213" s="26"/>
      <c r="D213" s="115"/>
      <c r="E213" s="29"/>
      <c r="F213" s="92" t="str">
        <f t="shared" si="9"/>
        <v>-</v>
      </c>
      <c r="G213" s="199"/>
      <c r="H213" s="118"/>
      <c r="I213" s="26"/>
      <c r="J213" s="101" t="str">
        <f>IFERROR(MIN('MP Calculations'!$E$29/I213,1),"-")</f>
        <v>-</v>
      </c>
      <c r="K213" s="37"/>
      <c r="L213" s="26"/>
      <c r="M213" s="26"/>
      <c r="N213" s="26"/>
      <c r="O213" s="95" t="str">
        <f t="shared" si="8"/>
        <v>-</v>
      </c>
      <c r="P213" s="97" t="str">
        <f t="shared" si="10"/>
        <v>-</v>
      </c>
    </row>
    <row r="214" spans="3:16">
      <c r="C214" s="26"/>
      <c r="D214" s="115"/>
      <c r="E214" s="29"/>
      <c r="F214" s="92" t="str">
        <f t="shared" si="9"/>
        <v>-</v>
      </c>
      <c r="G214" s="199"/>
      <c r="H214" s="118"/>
      <c r="I214" s="26"/>
      <c r="J214" s="101" t="str">
        <f>IFERROR(MIN('MP Calculations'!$E$29/I214,1),"-")</f>
        <v>-</v>
      </c>
      <c r="K214" s="37"/>
      <c r="L214" s="26"/>
      <c r="M214" s="26"/>
      <c r="N214" s="26"/>
      <c r="O214" s="95" t="str">
        <f t="shared" si="8"/>
        <v>-</v>
      </c>
      <c r="P214" s="97" t="str">
        <f t="shared" si="10"/>
        <v>-</v>
      </c>
    </row>
    <row r="215" spans="3:16">
      <c r="C215" s="26"/>
      <c r="D215" s="115"/>
      <c r="E215" s="29"/>
      <c r="F215" s="92" t="str">
        <f t="shared" si="9"/>
        <v>-</v>
      </c>
      <c r="G215" s="199"/>
      <c r="H215" s="118"/>
      <c r="I215" s="26"/>
      <c r="J215" s="101" t="str">
        <f>IFERROR(MIN('MP Calculations'!$E$29/I215,1),"-")</f>
        <v>-</v>
      </c>
      <c r="K215" s="37"/>
      <c r="L215" s="26"/>
      <c r="M215" s="26"/>
      <c r="N215" s="26"/>
      <c r="O215" s="95" t="str">
        <f t="shared" ref="O215:O218" si="11">IF(N215="","-",L215*N215)</f>
        <v>-</v>
      </c>
      <c r="P215" s="97" t="str">
        <f t="shared" si="10"/>
        <v>-</v>
      </c>
    </row>
    <row r="216" spans="3:16">
      <c r="C216" s="26"/>
      <c r="D216" s="115"/>
      <c r="E216" s="29"/>
      <c r="F216" s="92" t="str">
        <f t="shared" si="9"/>
        <v>-</v>
      </c>
      <c r="G216" s="199"/>
      <c r="H216" s="118"/>
      <c r="I216" s="26"/>
      <c r="J216" s="101" t="str">
        <f>IFERROR(MIN('MP Calculations'!$E$29/I216,1),"-")</f>
        <v>-</v>
      </c>
      <c r="K216" s="37"/>
      <c r="L216" s="26"/>
      <c r="M216" s="26"/>
      <c r="N216" s="26"/>
      <c r="O216" s="95" t="str">
        <f t="shared" si="11"/>
        <v>-</v>
      </c>
      <c r="P216" s="97" t="str">
        <f t="shared" si="10"/>
        <v>-</v>
      </c>
    </row>
    <row r="217" spans="3:16">
      <c r="C217" s="26"/>
      <c r="D217" s="115"/>
      <c r="E217" s="29"/>
      <c r="F217" s="92" t="str">
        <f t="shared" si="9"/>
        <v>-</v>
      </c>
      <c r="G217" s="199"/>
      <c r="H217" s="118"/>
      <c r="I217" s="26"/>
      <c r="J217" s="101" t="str">
        <f>IFERROR(MIN('MP Calculations'!$E$29/I217,1),"-")</f>
        <v>-</v>
      </c>
      <c r="K217" s="37"/>
      <c r="L217" s="26"/>
      <c r="M217" s="26"/>
      <c r="N217" s="26"/>
      <c r="O217" s="95" t="str">
        <f t="shared" si="11"/>
        <v>-</v>
      </c>
      <c r="P217" s="97" t="str">
        <f t="shared" si="10"/>
        <v>-</v>
      </c>
    </row>
    <row r="218" spans="3:16" ht="48">
      <c r="C218" s="30"/>
      <c r="D218" s="132"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33"/>
      <c r="F218" s="93" t="str">
        <f t="shared" si="3"/>
        <v>-</v>
      </c>
      <c r="G218" s="199"/>
      <c r="H218" s="116"/>
      <c r="I218" s="40"/>
      <c r="J218" s="120" t="str">
        <f>IFERROR(MIN('MP Calculations'!$E$29/I218,1),"-")</f>
        <v>-</v>
      </c>
      <c r="K218" s="199"/>
      <c r="L218" s="31"/>
      <c r="M218" s="31"/>
      <c r="N218" s="31"/>
      <c r="O218" s="121" t="str">
        <f t="shared" si="11"/>
        <v>-</v>
      </c>
      <c r="P218" s="98" t="str">
        <f t="shared" si="5"/>
        <v>-</v>
      </c>
    </row>
    <row r="219" spans="3:16">
      <c r="C219" s="199"/>
      <c r="D219" s="199"/>
      <c r="E219" s="199"/>
      <c r="F219" s="199"/>
      <c r="G219" s="199"/>
      <c r="H219" s="199"/>
      <c r="I219" s="199"/>
      <c r="J219" s="199"/>
      <c r="K219" s="199"/>
      <c r="L219" s="199"/>
      <c r="M219" s="199"/>
      <c r="N219" s="199"/>
      <c r="O219" s="6" t="s">
        <v>192</v>
      </c>
      <c r="P219" s="144">
        <f>SUM(P22:P218)</f>
        <v>0</v>
      </c>
    </row>
  </sheetData>
  <sheetProtection algorithmName="SHA-512" hashValue="VWtDuXrQeO0sMe4pw3zpZDnr/rlallU+ZNd01kTs1SC6S5jY96XlTjE5bdp5BjD4J45doXOuWzRbhqwqFmic0w==" saltValue="4TQzSMTeh3B1LsSdacvYzA==" spinCount="100000" sheet="1" objects="1" scenarios="1"/>
  <conditionalFormatting sqref="F22:F218">
    <cfRule type="containsText" dxfId="7" priority="4" operator="containsText" text="ERROR">
      <formula>NOT(ISERROR(SEARCH("ERROR",F22)))</formula>
    </cfRule>
  </conditionalFormatting>
  <conditionalFormatting sqref="J22:J218">
    <cfRule type="cellIs" dxfId="6"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R219"/>
  <sheetViews>
    <sheetView showGridLines="0" zoomScaleNormal="100" workbookViewId="0">
      <pane ySplit="21" topLeftCell="A36" activePane="bottomLeft" state="frozen"/>
      <selection pane="bottomLeft" activeCell="J44" sqref="J44:J45"/>
      <selection activeCell="A22" sqref="A22"/>
    </sheetView>
  </sheetViews>
  <sheetFormatPr defaultRowHeight="1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8" max="18" width="9.140625" customWidth="1"/>
  </cols>
  <sheetData>
    <row r="1" spans="3:5">
      <c r="C1" s="199"/>
      <c r="D1" s="199"/>
      <c r="E1" s="32"/>
    </row>
    <row r="2" spans="3:5">
      <c r="C2" s="199"/>
      <c r="D2" s="199"/>
      <c r="E2" s="32"/>
    </row>
    <row r="3" spans="3:5" ht="20.25">
      <c r="C3" s="58" t="s">
        <v>193</v>
      </c>
      <c r="D3" s="199"/>
      <c r="E3" s="199"/>
    </row>
    <row r="5" spans="3:5">
      <c r="C5" s="199"/>
      <c r="D5" s="32"/>
      <c r="E5" s="199"/>
    </row>
    <row r="6" spans="3:5" ht="12" customHeight="1">
      <c r="C6" s="10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199"/>
      <c r="E6" s="199"/>
    </row>
    <row r="7" spans="3:5">
      <c r="C7" s="131" t="str">
        <f ca="1">"Hyperlink to the '"&amp;MID(CELL("filename",'Asset exclusions'!A1),FIND("]",CELL("filename",'Asset exclusions'!A1))+1,255)&amp;"' worksheet:"</f>
        <v>Hyperlink to the 'Asset exclusions' worksheet:</v>
      </c>
      <c r="D7" s="199"/>
      <c r="E7" s="166" t="s">
        <v>171</v>
      </c>
    </row>
    <row r="8" spans="3:5">
      <c r="C8" s="131"/>
      <c r="D8" s="199"/>
      <c r="E8" s="166"/>
    </row>
    <row r="9" spans="3:5">
      <c r="C9" s="131" t="s">
        <v>172</v>
      </c>
      <c r="D9" s="199"/>
      <c r="E9" s="166"/>
    </row>
    <row r="10" spans="3:5">
      <c r="C10" s="131" t="s">
        <v>173</v>
      </c>
      <c r="D10" s="199"/>
      <c r="E10" s="166"/>
    </row>
    <row r="11" spans="3:5">
      <c r="C11" s="131" t="s">
        <v>174</v>
      </c>
      <c r="D11" s="199"/>
      <c r="E11" s="166"/>
    </row>
    <row r="12" spans="3:5">
      <c r="C12" s="131" t="s">
        <v>175</v>
      </c>
      <c r="D12" s="199"/>
      <c r="E12" s="166"/>
    </row>
    <row r="14" spans="3:5">
      <c r="C14" s="6" t="s">
        <v>176</v>
      </c>
      <c r="D14" s="199"/>
      <c r="E14" s="199"/>
    </row>
    <row r="15" spans="3:5">
      <c r="C15" s="65" t="s">
        <v>177</v>
      </c>
      <c r="D15" s="199"/>
      <c r="E15" s="89">
        <f>'General inputs'!$H$24+1</f>
        <v>35065</v>
      </c>
    </row>
    <row r="16" spans="3:5">
      <c r="C16" s="65" t="s">
        <v>178</v>
      </c>
      <c r="D16" s="199"/>
      <c r="E16" s="90">
        <f>'General inputs'!$H$18</f>
        <v>45473</v>
      </c>
    </row>
    <row r="18" spans="3:18" ht="15.75">
      <c r="C18" s="2" t="s">
        <v>194</v>
      </c>
      <c r="D18" s="199"/>
      <c r="E18" s="199"/>
      <c r="F18" s="199"/>
      <c r="G18" s="199"/>
      <c r="H18" s="199"/>
      <c r="I18" s="199"/>
      <c r="J18" s="199"/>
      <c r="K18" s="199"/>
      <c r="L18" s="199"/>
      <c r="M18" s="199"/>
      <c r="N18" s="199"/>
      <c r="O18" s="199"/>
      <c r="P18" s="199"/>
      <c r="Q18" s="199"/>
      <c r="R18" s="199"/>
    </row>
    <row r="20" spans="3:18">
      <c r="C20" s="6" t="s">
        <v>180</v>
      </c>
      <c r="D20" s="199"/>
      <c r="E20" s="199"/>
      <c r="F20" s="199"/>
      <c r="G20" s="199"/>
      <c r="H20" s="6" t="s">
        <v>181</v>
      </c>
      <c r="I20" s="199"/>
      <c r="J20" s="199"/>
      <c r="K20" s="199"/>
      <c r="L20" s="6" t="s">
        <v>182</v>
      </c>
      <c r="M20" s="6"/>
      <c r="N20" s="199"/>
      <c r="O20" s="199"/>
      <c r="P20" s="199"/>
      <c r="Q20" s="199"/>
      <c r="R20" s="199"/>
    </row>
    <row r="21" spans="3:18" ht="48">
      <c r="C21" s="24" t="s">
        <v>183</v>
      </c>
      <c r="D21" s="24" t="s">
        <v>184</v>
      </c>
      <c r="E21" s="24" t="s">
        <v>185</v>
      </c>
      <c r="F21" s="24" t="s">
        <v>195</v>
      </c>
      <c r="G21" s="199"/>
      <c r="H21" s="24" t="s">
        <v>187</v>
      </c>
      <c r="I21" s="24" t="s">
        <v>188</v>
      </c>
      <c r="J21" s="24" t="s">
        <v>189</v>
      </c>
      <c r="K21" s="199"/>
      <c r="L21" s="24" t="s">
        <v>190</v>
      </c>
      <c r="M21" s="24" t="s">
        <v>191</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c r="Q21" s="199"/>
      <c r="R21" s="199"/>
    </row>
    <row r="22" spans="3:18" ht="12" customHeight="1">
      <c r="C22" s="25"/>
      <c r="D22" s="114" t="s">
        <v>196</v>
      </c>
      <c r="E22" s="33">
        <v>44378</v>
      </c>
      <c r="F22" s="99" t="str">
        <f>IF(E22="","-",IF(OR(E22&lt;$E$15,E22&gt;$E$16),"ERROR - date outside of range",IF(MONTH(E22)&gt;=7,YEAR(E22)&amp;"-"&amp;IF(YEAR(E22)=1999,"00",IF(AND(YEAR(E22)&gt;=2000,YEAR(E22)&lt;2009),"0","")&amp;RIGHT(YEAR(E22),2)+1),RIGHT(YEAR(E22),4)-1&amp;"-"&amp;RIGHT(YEAR(E22),2))))</f>
        <v>2021-22</v>
      </c>
      <c r="G22" s="199"/>
      <c r="H22" s="117" t="s">
        <v>197</v>
      </c>
      <c r="I22" s="25">
        <f>'[1]Scenario 4 - Output'!$D$137</f>
        <v>7189.7586453201966</v>
      </c>
      <c r="J22" s="100">
        <v>1</v>
      </c>
      <c r="K22" s="37"/>
      <c r="L22" s="25"/>
      <c r="M22" s="25"/>
      <c r="N22" s="25"/>
      <c r="O22" s="94">
        <f ca="1">'[1]Scenario 4 - Output'!$E$79*1000</f>
        <v>416393.08158835105</v>
      </c>
      <c r="P22" s="96">
        <f ca="1">IF(O22="-","-",IF(OR(E22&lt;$E$15,E22&gt;$E$16),0,O22*J22))</f>
        <v>416393.08158835105</v>
      </c>
      <c r="Q22" s="199"/>
      <c r="R22" s="199"/>
    </row>
    <row r="23" spans="3:18">
      <c r="C23" s="26"/>
      <c r="D23" s="114" t="s">
        <v>198</v>
      </c>
      <c r="E23" s="34">
        <v>44743</v>
      </c>
      <c r="F23" s="108" t="str">
        <f t="shared" ref="F23:F86" si="0">IF(E23="","-",IF(OR(E23&lt;$E$15,E23&gt;$E$16),"ERROR - date outside of range",IF(MONTH(E23)&gt;=7,YEAR(E23)&amp;"-"&amp;IF(YEAR(E23)=1999,"00",IF(AND(YEAR(E23)&gt;=2000,YEAR(E23)&lt;2009),"0","")&amp;RIGHT(YEAR(E23),2)+1),RIGHT(YEAR(E23),4)-1&amp;"-"&amp;RIGHT(YEAR(E23),2))))</f>
        <v>2022-23</v>
      </c>
      <c r="G23" s="199"/>
      <c r="H23" s="117" t="s">
        <v>197</v>
      </c>
      <c r="I23" s="25">
        <f>'[1]Scenario 4 - Output'!$D$137</f>
        <v>7189.7586453201966</v>
      </c>
      <c r="J23" s="101">
        <v>1</v>
      </c>
      <c r="K23" s="37"/>
      <c r="L23" s="141"/>
      <c r="M23" s="26"/>
      <c r="N23" s="26"/>
      <c r="O23" s="95">
        <f ca="1">'[1]Scenario 4 - Output'!F79*1000</f>
        <v>813740.25765705958</v>
      </c>
      <c r="P23" s="97">
        <f t="shared" ref="P23:P86" ca="1" si="1">IF(O23="-","-",IF(OR(E23&lt;$E$15,E23&gt;$E$16),0,O23*J23))</f>
        <v>813740.25765705958</v>
      </c>
      <c r="Q23" s="199"/>
      <c r="R23" s="102"/>
    </row>
    <row r="24" spans="3:18">
      <c r="C24" s="26"/>
      <c r="D24" s="114" t="s">
        <v>199</v>
      </c>
      <c r="E24" s="34">
        <v>45108</v>
      </c>
      <c r="F24" s="108" t="str">
        <f t="shared" si="0"/>
        <v>2023-24</v>
      </c>
      <c r="G24" s="199"/>
      <c r="H24" s="117" t="s">
        <v>197</v>
      </c>
      <c r="I24" s="25">
        <f>'[1]Scenario 4 - Output'!$D$137</f>
        <v>7189.7586453201966</v>
      </c>
      <c r="J24" s="101">
        <v>1</v>
      </c>
      <c r="K24" s="37"/>
      <c r="L24" s="26"/>
      <c r="M24" s="26"/>
      <c r="N24" s="26"/>
      <c r="O24" s="95">
        <f ca="1">'[1]Scenario 4 - Output'!$G$79*1000</f>
        <v>821986.36539455166</v>
      </c>
      <c r="P24" s="97">
        <f ca="1">IF(O24="-","-",IF(OR(E24&lt;$E$15,E24&gt;$E$16),0,O24*J24))</f>
        <v>821986.36539455166</v>
      </c>
      <c r="Q24" s="199"/>
      <c r="R24" s="199"/>
    </row>
    <row r="25" spans="3:18">
      <c r="C25" s="197">
        <v>5.0999999999999996</v>
      </c>
      <c r="D25" s="115" t="s">
        <v>200</v>
      </c>
      <c r="E25" s="34">
        <v>45108</v>
      </c>
      <c r="F25" s="108" t="str">
        <f t="shared" si="0"/>
        <v>2023-24</v>
      </c>
      <c r="G25" s="199"/>
      <c r="H25" s="117" t="s">
        <v>197</v>
      </c>
      <c r="I25" s="25">
        <f>'[1]Scenario 4 - Output'!$D$137</f>
        <v>7189.7586453201966</v>
      </c>
      <c r="J25" s="101">
        <v>1</v>
      </c>
      <c r="K25" s="37"/>
      <c r="L25" s="26"/>
      <c r="M25" s="26"/>
      <c r="N25" s="26"/>
      <c r="O25" s="95">
        <f ca="1">'[1]Scenario 4 - Output'!G81*1000</f>
        <v>7344826.5599999996</v>
      </c>
      <c r="P25" s="97">
        <f t="shared" ca="1" si="1"/>
        <v>7344826.5599999996</v>
      </c>
      <c r="Q25" s="199"/>
      <c r="R25" s="199"/>
    </row>
    <row r="26" spans="3:18">
      <c r="C26" s="26"/>
      <c r="D26" s="115"/>
      <c r="E26" s="34"/>
      <c r="F26" s="108" t="str">
        <f t="shared" si="0"/>
        <v>-</v>
      </c>
      <c r="G26" s="199"/>
      <c r="H26" s="118"/>
      <c r="I26" s="26"/>
      <c r="J26" s="101" t="str">
        <f>IFERROR(MIN('MP Calculations'!$E$29/I26,1),"-")</f>
        <v>-</v>
      </c>
      <c r="K26" s="37"/>
      <c r="L26" s="26"/>
      <c r="M26" s="26"/>
      <c r="N26" s="26"/>
      <c r="O26" s="95" t="str">
        <f t="shared" ref="O26:O86" si="2">IF(N26="","-",L26*N26)</f>
        <v>-</v>
      </c>
      <c r="P26" s="97" t="str">
        <f t="shared" si="1"/>
        <v>-</v>
      </c>
      <c r="Q26" s="199"/>
      <c r="R26" s="199"/>
    </row>
    <row r="27" spans="3:18">
      <c r="C27" s="26"/>
      <c r="D27" s="115"/>
      <c r="E27" s="34"/>
      <c r="F27" s="108" t="str">
        <f t="shared" si="0"/>
        <v>-</v>
      </c>
      <c r="G27" s="199"/>
      <c r="H27" s="118"/>
      <c r="I27" s="26"/>
      <c r="J27" s="101" t="str">
        <f>IFERROR(MIN('MP Calculations'!$E$29/I27,1),"-")</f>
        <v>-</v>
      </c>
      <c r="K27" s="37"/>
      <c r="L27" s="26"/>
      <c r="M27" s="26"/>
      <c r="N27" s="26"/>
      <c r="O27" s="95" t="str">
        <f t="shared" si="2"/>
        <v>-</v>
      </c>
      <c r="P27" s="97" t="str">
        <f t="shared" si="1"/>
        <v>-</v>
      </c>
      <c r="Q27" s="199"/>
      <c r="R27" s="199"/>
    </row>
    <row r="28" spans="3:18">
      <c r="C28" s="26"/>
      <c r="D28" s="115"/>
      <c r="E28" s="34"/>
      <c r="F28" s="108" t="str">
        <f t="shared" si="0"/>
        <v>-</v>
      </c>
      <c r="G28" s="199"/>
      <c r="H28" s="118"/>
      <c r="I28" s="26"/>
      <c r="J28" s="101" t="str">
        <f>IFERROR(MIN('MP Calculations'!$E$29/I28,1),"-")</f>
        <v>-</v>
      </c>
      <c r="K28" s="37"/>
      <c r="L28" s="26"/>
      <c r="M28" s="26"/>
      <c r="N28" s="26"/>
      <c r="O28" s="95" t="str">
        <f t="shared" si="2"/>
        <v>-</v>
      </c>
      <c r="P28" s="97" t="str">
        <f t="shared" si="1"/>
        <v>-</v>
      </c>
      <c r="Q28" s="199"/>
      <c r="R28" s="199"/>
    </row>
    <row r="29" spans="3:18">
      <c r="C29" s="26"/>
      <c r="D29" s="115"/>
      <c r="E29" s="34"/>
      <c r="F29" s="108" t="str">
        <f t="shared" si="0"/>
        <v>-</v>
      </c>
      <c r="G29" s="199"/>
      <c r="H29" s="118"/>
      <c r="I29" s="26"/>
      <c r="J29" s="101" t="str">
        <f>IFERROR(MIN('MP Calculations'!$E$29/I29,1),"-")</f>
        <v>-</v>
      </c>
      <c r="K29" s="37"/>
      <c r="L29" s="26"/>
      <c r="M29" s="26"/>
      <c r="N29" s="26"/>
      <c r="O29" s="95" t="str">
        <f t="shared" si="2"/>
        <v>-</v>
      </c>
      <c r="P29" s="97" t="str">
        <f t="shared" si="1"/>
        <v>-</v>
      </c>
      <c r="Q29" s="199"/>
      <c r="R29" s="199"/>
    </row>
    <row r="30" spans="3:18">
      <c r="C30" s="26"/>
      <c r="D30" s="115"/>
      <c r="E30" s="34"/>
      <c r="F30" s="108" t="str">
        <f t="shared" si="0"/>
        <v>-</v>
      </c>
      <c r="G30" s="199"/>
      <c r="H30" s="118"/>
      <c r="I30" s="26"/>
      <c r="J30" s="101" t="str">
        <f>IFERROR(MIN('MP Calculations'!$E$29/I30,1),"-")</f>
        <v>-</v>
      </c>
      <c r="K30" s="37"/>
      <c r="L30" s="26"/>
      <c r="M30" s="26"/>
      <c r="N30" s="26"/>
      <c r="O30" s="95" t="str">
        <f t="shared" si="2"/>
        <v>-</v>
      </c>
      <c r="P30" s="97" t="str">
        <f t="shared" si="1"/>
        <v>-</v>
      </c>
      <c r="Q30" s="199"/>
      <c r="R30" s="199"/>
    </row>
    <row r="31" spans="3:18">
      <c r="C31" s="26"/>
      <c r="D31" s="115"/>
      <c r="E31" s="34"/>
      <c r="F31" s="108" t="str">
        <f t="shared" si="0"/>
        <v>-</v>
      </c>
      <c r="G31" s="199"/>
      <c r="H31" s="118"/>
      <c r="I31" s="26"/>
      <c r="J31" s="101" t="str">
        <f>IFERROR(MIN('MP Calculations'!$E$29/I31,1),"-")</f>
        <v>-</v>
      </c>
      <c r="K31" s="37"/>
      <c r="L31" s="26"/>
      <c r="M31" s="26"/>
      <c r="N31" s="26"/>
      <c r="O31" s="95" t="str">
        <f t="shared" si="2"/>
        <v>-</v>
      </c>
      <c r="P31" s="97" t="str">
        <f t="shared" si="1"/>
        <v>-</v>
      </c>
      <c r="Q31" s="199"/>
      <c r="R31" s="199"/>
    </row>
    <row r="32" spans="3:18">
      <c r="C32" s="26"/>
      <c r="D32" s="115"/>
      <c r="E32" s="34"/>
      <c r="F32" s="108" t="str">
        <f t="shared" si="0"/>
        <v>-</v>
      </c>
      <c r="G32" s="199"/>
      <c r="H32" s="118"/>
      <c r="I32" s="26"/>
      <c r="J32" s="101" t="str">
        <f>IFERROR(MIN('MP Calculations'!$E$29/I32,1),"-")</f>
        <v>-</v>
      </c>
      <c r="K32" s="37"/>
      <c r="L32" s="26"/>
      <c r="M32" s="26"/>
      <c r="N32" s="26"/>
      <c r="O32" s="95" t="str">
        <f t="shared" si="2"/>
        <v>-</v>
      </c>
      <c r="P32" s="97" t="str">
        <f t="shared" si="1"/>
        <v>-</v>
      </c>
      <c r="Q32" s="199"/>
      <c r="R32" s="199"/>
    </row>
    <row r="33" spans="3:16">
      <c r="C33" s="26"/>
      <c r="D33" s="115"/>
      <c r="E33" s="34"/>
      <c r="F33" s="108" t="str">
        <f t="shared" si="0"/>
        <v>-</v>
      </c>
      <c r="G33" s="199"/>
      <c r="H33" s="118"/>
      <c r="I33" s="26"/>
      <c r="J33" s="101" t="str">
        <f>IFERROR(MIN('MP Calculations'!$E$29/I33,1),"-")</f>
        <v>-</v>
      </c>
      <c r="K33" s="37"/>
      <c r="L33" s="26"/>
      <c r="M33" s="26"/>
      <c r="N33" s="26"/>
      <c r="O33" s="95" t="str">
        <f t="shared" si="2"/>
        <v>-</v>
      </c>
      <c r="P33" s="97" t="str">
        <f t="shared" si="1"/>
        <v>-</v>
      </c>
    </row>
    <row r="34" spans="3:16">
      <c r="C34" s="26"/>
      <c r="D34" s="115"/>
      <c r="E34" s="34"/>
      <c r="F34" s="108" t="str">
        <f t="shared" si="0"/>
        <v>-</v>
      </c>
      <c r="G34" s="199"/>
      <c r="H34" s="118"/>
      <c r="I34" s="26"/>
      <c r="J34" s="101" t="str">
        <f>IFERROR(MIN('MP Calculations'!$E$29/I34,1),"-")</f>
        <v>-</v>
      </c>
      <c r="K34" s="37"/>
      <c r="L34" s="26"/>
      <c r="M34" s="26"/>
      <c r="N34" s="26"/>
      <c r="O34" s="95" t="str">
        <f t="shared" si="2"/>
        <v>-</v>
      </c>
      <c r="P34" s="97" t="str">
        <f t="shared" si="1"/>
        <v>-</v>
      </c>
    </row>
    <row r="35" spans="3:16">
      <c r="C35" s="26"/>
      <c r="D35" s="115"/>
      <c r="E35" s="34"/>
      <c r="F35" s="108" t="str">
        <f t="shared" si="0"/>
        <v>-</v>
      </c>
      <c r="G35" s="199"/>
      <c r="H35" s="118"/>
      <c r="I35" s="26"/>
      <c r="J35" s="101" t="str">
        <f>IFERROR(MIN('MP Calculations'!$E$29/I35,1),"-")</f>
        <v>-</v>
      </c>
      <c r="K35" s="37"/>
      <c r="L35" s="26"/>
      <c r="M35" s="26"/>
      <c r="N35" s="26"/>
      <c r="O35" s="95" t="str">
        <f t="shared" si="2"/>
        <v>-</v>
      </c>
      <c r="P35" s="97" t="str">
        <f t="shared" si="1"/>
        <v>-</v>
      </c>
    </row>
    <row r="36" spans="3:16">
      <c r="C36" s="26"/>
      <c r="D36" s="115"/>
      <c r="E36" s="34"/>
      <c r="F36" s="108" t="str">
        <f t="shared" si="0"/>
        <v>-</v>
      </c>
      <c r="G36" s="199"/>
      <c r="H36" s="118"/>
      <c r="I36" s="26"/>
      <c r="J36" s="101" t="str">
        <f>IFERROR(MIN('MP Calculations'!$E$29/I36,1),"-")</f>
        <v>-</v>
      </c>
      <c r="K36" s="37"/>
      <c r="L36" s="26"/>
      <c r="M36" s="26"/>
      <c r="N36" s="26"/>
      <c r="O36" s="95" t="str">
        <f t="shared" si="2"/>
        <v>-</v>
      </c>
      <c r="P36" s="97" t="str">
        <f t="shared" si="1"/>
        <v>-</v>
      </c>
    </row>
    <row r="37" spans="3:16">
      <c r="C37" s="26"/>
      <c r="D37" s="115"/>
      <c r="E37" s="34"/>
      <c r="F37" s="108" t="str">
        <f t="shared" si="0"/>
        <v>-</v>
      </c>
      <c r="G37" s="199"/>
      <c r="H37" s="118"/>
      <c r="I37" s="26"/>
      <c r="J37" s="101" t="str">
        <f>IFERROR(MIN('MP Calculations'!$E$29/I37,1),"-")</f>
        <v>-</v>
      </c>
      <c r="K37" s="37"/>
      <c r="L37" s="26"/>
      <c r="M37" s="26"/>
      <c r="N37" s="26"/>
      <c r="O37" s="95" t="str">
        <f t="shared" si="2"/>
        <v>-</v>
      </c>
      <c r="P37" s="97" t="str">
        <f t="shared" si="1"/>
        <v>-</v>
      </c>
    </row>
    <row r="38" spans="3:16">
      <c r="C38" s="26"/>
      <c r="D38" s="115"/>
      <c r="E38" s="34"/>
      <c r="F38" s="108" t="str">
        <f t="shared" si="0"/>
        <v>-</v>
      </c>
      <c r="G38" s="199"/>
      <c r="H38" s="118"/>
      <c r="I38" s="26"/>
      <c r="J38" s="101" t="str">
        <f>IFERROR(MIN('MP Calculations'!$E$29/I38,1),"-")</f>
        <v>-</v>
      </c>
      <c r="K38" s="37"/>
      <c r="L38" s="26"/>
      <c r="M38" s="26"/>
      <c r="N38" s="26"/>
      <c r="O38" s="95" t="str">
        <f t="shared" si="2"/>
        <v>-</v>
      </c>
      <c r="P38" s="97" t="str">
        <f t="shared" si="1"/>
        <v>-</v>
      </c>
    </row>
    <row r="39" spans="3:16">
      <c r="C39" s="26"/>
      <c r="D39" s="115"/>
      <c r="E39" s="34"/>
      <c r="F39" s="108" t="str">
        <f t="shared" si="0"/>
        <v>-</v>
      </c>
      <c r="G39" s="199"/>
      <c r="H39" s="118"/>
      <c r="I39" s="26"/>
      <c r="J39" s="101" t="str">
        <f>IFERROR(MIN('MP Calculations'!$E$29/I39,1),"-")</f>
        <v>-</v>
      </c>
      <c r="K39" s="37"/>
      <c r="L39" s="26"/>
      <c r="M39" s="26"/>
      <c r="N39" s="26"/>
      <c r="O39" s="95" t="str">
        <f t="shared" si="2"/>
        <v>-</v>
      </c>
      <c r="P39" s="97" t="str">
        <f t="shared" si="1"/>
        <v>-</v>
      </c>
    </row>
    <row r="40" spans="3:16">
      <c r="C40" s="26"/>
      <c r="D40" s="115"/>
      <c r="E40" s="34"/>
      <c r="F40" s="108" t="str">
        <f t="shared" si="0"/>
        <v>-</v>
      </c>
      <c r="G40" s="199"/>
      <c r="H40" s="118"/>
      <c r="I40" s="26"/>
      <c r="J40" s="101" t="str">
        <f>IFERROR(MIN('MP Calculations'!$E$29/I40,1),"-")</f>
        <v>-</v>
      </c>
      <c r="K40" s="37"/>
      <c r="L40" s="26"/>
      <c r="M40" s="26"/>
      <c r="N40" s="26"/>
      <c r="O40" s="95" t="str">
        <f t="shared" si="2"/>
        <v>-</v>
      </c>
      <c r="P40" s="97" t="str">
        <f t="shared" si="1"/>
        <v>-</v>
      </c>
    </row>
    <row r="41" spans="3:16">
      <c r="C41" s="26"/>
      <c r="D41" s="115"/>
      <c r="E41" s="34"/>
      <c r="F41" s="108" t="str">
        <f t="shared" si="0"/>
        <v>-</v>
      </c>
      <c r="G41" s="199"/>
      <c r="H41" s="118"/>
      <c r="I41" s="26"/>
      <c r="J41" s="101" t="str">
        <f>IFERROR(MIN('MP Calculations'!$E$29/I41,1),"-")</f>
        <v>-</v>
      </c>
      <c r="K41" s="37"/>
      <c r="L41" s="26"/>
      <c r="M41" s="26"/>
      <c r="N41" s="26"/>
      <c r="O41" s="95" t="str">
        <f t="shared" si="2"/>
        <v>-</v>
      </c>
      <c r="P41" s="97" t="str">
        <f t="shared" si="1"/>
        <v>-</v>
      </c>
    </row>
    <row r="42" spans="3:16">
      <c r="C42" s="26"/>
      <c r="D42" s="115"/>
      <c r="E42" s="34"/>
      <c r="F42" s="108" t="str">
        <f t="shared" si="0"/>
        <v>-</v>
      </c>
      <c r="G42" s="199"/>
      <c r="H42" s="118"/>
      <c r="I42" s="26"/>
      <c r="J42" s="101" t="str">
        <f>IFERROR(MIN('MP Calculations'!$E$29/I42,1),"-")</f>
        <v>-</v>
      </c>
      <c r="K42" s="37"/>
      <c r="L42" s="26"/>
      <c r="M42" s="26"/>
      <c r="N42" s="26"/>
      <c r="O42" s="95" t="str">
        <f t="shared" si="2"/>
        <v>-</v>
      </c>
      <c r="P42" s="97" t="str">
        <f t="shared" si="1"/>
        <v>-</v>
      </c>
    </row>
    <row r="43" spans="3:16">
      <c r="C43" s="26"/>
      <c r="D43" s="115"/>
      <c r="E43" s="34"/>
      <c r="F43" s="108" t="str">
        <f t="shared" si="0"/>
        <v>-</v>
      </c>
      <c r="G43" s="199"/>
      <c r="H43" s="118"/>
      <c r="I43" s="26"/>
      <c r="J43" s="101" t="str">
        <f>IFERROR(MIN('MP Calculations'!$E$29/I43,1),"-")</f>
        <v>-</v>
      </c>
      <c r="K43" s="37"/>
      <c r="L43" s="26"/>
      <c r="M43" s="26"/>
      <c r="N43" s="26"/>
      <c r="O43" s="95" t="str">
        <f t="shared" si="2"/>
        <v>-</v>
      </c>
      <c r="P43" s="97" t="str">
        <f t="shared" si="1"/>
        <v>-</v>
      </c>
    </row>
    <row r="44" spans="3:16">
      <c r="C44" s="26"/>
      <c r="D44" s="115"/>
      <c r="E44" s="34"/>
      <c r="F44" s="108" t="str">
        <f t="shared" si="0"/>
        <v>-</v>
      </c>
      <c r="G44" s="199"/>
      <c r="H44" s="118"/>
      <c r="I44" s="26"/>
      <c r="J44" s="101" t="str">
        <f>IFERROR(MIN('MP Calculations'!$E$29/I44,1),"-")</f>
        <v>-</v>
      </c>
      <c r="K44" s="37"/>
      <c r="L44" s="26"/>
      <c r="M44" s="26"/>
      <c r="N44" s="26"/>
      <c r="O44" s="95" t="str">
        <f t="shared" si="2"/>
        <v>-</v>
      </c>
      <c r="P44" s="97" t="str">
        <f t="shared" si="1"/>
        <v>-</v>
      </c>
    </row>
    <row r="45" spans="3:16">
      <c r="C45" s="26"/>
      <c r="D45" s="115"/>
      <c r="E45" s="34"/>
      <c r="F45" s="108" t="str">
        <f t="shared" si="0"/>
        <v>-</v>
      </c>
      <c r="G45" s="199"/>
      <c r="H45" s="118"/>
      <c r="I45" s="26"/>
      <c r="J45" s="101" t="str">
        <f>IFERROR(MIN('MP Calculations'!$E$29/I45,1),"-")</f>
        <v>-</v>
      </c>
      <c r="K45" s="37"/>
      <c r="L45" s="26"/>
      <c r="M45" s="26"/>
      <c r="N45" s="26"/>
      <c r="O45" s="95" t="str">
        <f t="shared" si="2"/>
        <v>-</v>
      </c>
      <c r="P45" s="97" t="str">
        <f t="shared" si="1"/>
        <v>-</v>
      </c>
    </row>
    <row r="46" spans="3:16">
      <c r="C46" s="26"/>
      <c r="D46" s="115"/>
      <c r="E46" s="34"/>
      <c r="F46" s="108" t="str">
        <f t="shared" si="0"/>
        <v>-</v>
      </c>
      <c r="G46" s="199"/>
      <c r="H46" s="118"/>
      <c r="I46" s="26"/>
      <c r="J46" s="101" t="str">
        <f>IFERROR(MIN('MP Calculations'!$E$29/I46,1),"-")</f>
        <v>-</v>
      </c>
      <c r="K46" s="37"/>
      <c r="L46" s="26"/>
      <c r="M46" s="26"/>
      <c r="N46" s="26"/>
      <c r="O46" s="95" t="str">
        <f t="shared" si="2"/>
        <v>-</v>
      </c>
      <c r="P46" s="97" t="str">
        <f t="shared" si="1"/>
        <v>-</v>
      </c>
    </row>
    <row r="47" spans="3:16">
      <c r="C47" s="26"/>
      <c r="D47" s="115"/>
      <c r="E47" s="34"/>
      <c r="F47" s="108" t="str">
        <f t="shared" si="0"/>
        <v>-</v>
      </c>
      <c r="G47" s="199"/>
      <c r="H47" s="118"/>
      <c r="I47" s="26"/>
      <c r="J47" s="101" t="str">
        <f>IFERROR(MIN('MP Calculations'!$E$29/I47,1),"-")</f>
        <v>-</v>
      </c>
      <c r="K47" s="37"/>
      <c r="L47" s="26"/>
      <c r="M47" s="26"/>
      <c r="N47" s="26"/>
      <c r="O47" s="95" t="str">
        <f t="shared" si="2"/>
        <v>-</v>
      </c>
      <c r="P47" s="97" t="str">
        <f t="shared" si="1"/>
        <v>-</v>
      </c>
    </row>
    <row r="48" spans="3:16">
      <c r="C48" s="26"/>
      <c r="D48" s="115"/>
      <c r="E48" s="34"/>
      <c r="F48" s="108" t="str">
        <f t="shared" si="0"/>
        <v>-</v>
      </c>
      <c r="G48" s="199"/>
      <c r="H48" s="118"/>
      <c r="I48" s="26"/>
      <c r="J48" s="101" t="str">
        <f>IFERROR(MIN('MP Calculations'!$E$29/I48,1),"-")</f>
        <v>-</v>
      </c>
      <c r="K48" s="37"/>
      <c r="L48" s="26"/>
      <c r="M48" s="26"/>
      <c r="N48" s="26"/>
      <c r="O48" s="95" t="str">
        <f t="shared" si="2"/>
        <v>-</v>
      </c>
      <c r="P48" s="97" t="str">
        <f t="shared" si="1"/>
        <v>-</v>
      </c>
    </row>
    <row r="49" spans="3:16">
      <c r="C49" s="26"/>
      <c r="D49" s="115"/>
      <c r="E49" s="34"/>
      <c r="F49" s="108" t="str">
        <f t="shared" si="0"/>
        <v>-</v>
      </c>
      <c r="G49" s="199"/>
      <c r="H49" s="118"/>
      <c r="I49" s="26"/>
      <c r="J49" s="101" t="str">
        <f>IFERROR(MIN('MP Calculations'!$E$29/I49,1),"-")</f>
        <v>-</v>
      </c>
      <c r="K49" s="37"/>
      <c r="L49" s="26"/>
      <c r="M49" s="26"/>
      <c r="N49" s="26"/>
      <c r="O49" s="95" t="str">
        <f t="shared" si="2"/>
        <v>-</v>
      </c>
      <c r="P49" s="97" t="str">
        <f t="shared" si="1"/>
        <v>-</v>
      </c>
    </row>
    <row r="50" spans="3:16">
      <c r="C50" s="26"/>
      <c r="D50" s="115"/>
      <c r="E50" s="34"/>
      <c r="F50" s="108" t="str">
        <f t="shared" si="0"/>
        <v>-</v>
      </c>
      <c r="G50" s="199"/>
      <c r="H50" s="118"/>
      <c r="I50" s="26"/>
      <c r="J50" s="101" t="str">
        <f>IFERROR(MIN('MP Calculations'!$E$29/I50,1),"-")</f>
        <v>-</v>
      </c>
      <c r="K50" s="37"/>
      <c r="L50" s="26"/>
      <c r="M50" s="26"/>
      <c r="N50" s="26"/>
      <c r="O50" s="95" t="str">
        <f t="shared" si="2"/>
        <v>-</v>
      </c>
      <c r="P50" s="97" t="str">
        <f t="shared" si="1"/>
        <v>-</v>
      </c>
    </row>
    <row r="51" spans="3:16">
      <c r="C51" s="26"/>
      <c r="D51" s="115"/>
      <c r="E51" s="34"/>
      <c r="F51" s="108" t="str">
        <f t="shared" si="0"/>
        <v>-</v>
      </c>
      <c r="G51" s="199"/>
      <c r="H51" s="118"/>
      <c r="I51" s="26"/>
      <c r="J51" s="101" t="str">
        <f>IFERROR(MIN('MP Calculations'!$E$29/I51,1),"-")</f>
        <v>-</v>
      </c>
      <c r="K51" s="37"/>
      <c r="L51" s="26"/>
      <c r="M51" s="26"/>
      <c r="N51" s="26"/>
      <c r="O51" s="95" t="str">
        <f t="shared" si="2"/>
        <v>-</v>
      </c>
      <c r="P51" s="97" t="str">
        <f t="shared" si="1"/>
        <v>-</v>
      </c>
    </row>
    <row r="52" spans="3:16">
      <c r="C52" s="26"/>
      <c r="D52" s="115"/>
      <c r="E52" s="34"/>
      <c r="F52" s="108" t="str">
        <f t="shared" si="0"/>
        <v>-</v>
      </c>
      <c r="G52" s="199"/>
      <c r="H52" s="118"/>
      <c r="I52" s="26"/>
      <c r="J52" s="101" t="str">
        <f>IFERROR(MIN('MP Calculations'!$E$29/I52,1),"-")</f>
        <v>-</v>
      </c>
      <c r="K52" s="37"/>
      <c r="L52" s="26"/>
      <c r="M52" s="26"/>
      <c r="N52" s="26"/>
      <c r="O52" s="95" t="str">
        <f t="shared" si="2"/>
        <v>-</v>
      </c>
      <c r="P52" s="97" t="str">
        <f t="shared" si="1"/>
        <v>-</v>
      </c>
    </row>
    <row r="53" spans="3:16">
      <c r="C53" s="26"/>
      <c r="D53" s="115"/>
      <c r="E53" s="34"/>
      <c r="F53" s="108" t="str">
        <f t="shared" si="0"/>
        <v>-</v>
      </c>
      <c r="G53" s="199"/>
      <c r="H53" s="118"/>
      <c r="I53" s="26"/>
      <c r="J53" s="101" t="str">
        <f>IFERROR(MIN('MP Calculations'!$E$29/I53,1),"-")</f>
        <v>-</v>
      </c>
      <c r="K53" s="37"/>
      <c r="L53" s="26"/>
      <c r="M53" s="26"/>
      <c r="N53" s="26"/>
      <c r="O53" s="95" t="str">
        <f t="shared" si="2"/>
        <v>-</v>
      </c>
      <c r="P53" s="97" t="str">
        <f t="shared" si="1"/>
        <v>-</v>
      </c>
    </row>
    <row r="54" spans="3:16">
      <c r="C54" s="26"/>
      <c r="D54" s="115"/>
      <c r="E54" s="34"/>
      <c r="F54" s="108" t="str">
        <f t="shared" si="0"/>
        <v>-</v>
      </c>
      <c r="G54" s="199"/>
      <c r="H54" s="118"/>
      <c r="I54" s="26"/>
      <c r="J54" s="101" t="str">
        <f>IFERROR(MIN('MP Calculations'!$E$29/I54,1),"-")</f>
        <v>-</v>
      </c>
      <c r="K54" s="37"/>
      <c r="L54" s="26"/>
      <c r="M54" s="26"/>
      <c r="N54" s="26"/>
      <c r="O54" s="95" t="str">
        <f t="shared" si="2"/>
        <v>-</v>
      </c>
      <c r="P54" s="97" t="str">
        <f t="shared" si="1"/>
        <v>-</v>
      </c>
    </row>
    <row r="55" spans="3:16">
      <c r="C55" s="26"/>
      <c r="D55" s="115"/>
      <c r="E55" s="34"/>
      <c r="F55" s="108" t="str">
        <f t="shared" si="0"/>
        <v>-</v>
      </c>
      <c r="G55" s="199"/>
      <c r="H55" s="118"/>
      <c r="I55" s="26"/>
      <c r="J55" s="101" t="str">
        <f>IFERROR(MIN('MP Calculations'!$E$29/I55,1),"-")</f>
        <v>-</v>
      </c>
      <c r="K55" s="37"/>
      <c r="L55" s="26"/>
      <c r="M55" s="26"/>
      <c r="N55" s="26"/>
      <c r="O55" s="95" t="str">
        <f t="shared" si="2"/>
        <v>-</v>
      </c>
      <c r="P55" s="97" t="str">
        <f t="shared" si="1"/>
        <v>-</v>
      </c>
    </row>
    <row r="56" spans="3:16">
      <c r="C56" s="26"/>
      <c r="D56" s="115"/>
      <c r="E56" s="34"/>
      <c r="F56" s="108" t="str">
        <f t="shared" si="0"/>
        <v>-</v>
      </c>
      <c r="G56" s="199"/>
      <c r="H56" s="118"/>
      <c r="I56" s="26"/>
      <c r="J56" s="101" t="str">
        <f>IFERROR(MIN('MP Calculations'!$E$29/I56,1),"-")</f>
        <v>-</v>
      </c>
      <c r="K56" s="37"/>
      <c r="L56" s="26"/>
      <c r="M56" s="26"/>
      <c r="N56" s="26"/>
      <c r="O56" s="95" t="str">
        <f t="shared" si="2"/>
        <v>-</v>
      </c>
      <c r="P56" s="97" t="str">
        <f t="shared" si="1"/>
        <v>-</v>
      </c>
    </row>
    <row r="57" spans="3:16">
      <c r="C57" s="26"/>
      <c r="D57" s="115"/>
      <c r="E57" s="34"/>
      <c r="F57" s="108" t="str">
        <f t="shared" si="0"/>
        <v>-</v>
      </c>
      <c r="G57" s="199"/>
      <c r="H57" s="118"/>
      <c r="I57" s="26"/>
      <c r="J57" s="101" t="str">
        <f>IFERROR(MIN('MP Calculations'!$E$29/I57,1),"-")</f>
        <v>-</v>
      </c>
      <c r="K57" s="37"/>
      <c r="L57" s="26"/>
      <c r="M57" s="26"/>
      <c r="N57" s="26"/>
      <c r="O57" s="95" t="str">
        <f t="shared" si="2"/>
        <v>-</v>
      </c>
      <c r="P57" s="97" t="str">
        <f t="shared" si="1"/>
        <v>-</v>
      </c>
    </row>
    <row r="58" spans="3:16">
      <c r="C58" s="26"/>
      <c r="D58" s="115"/>
      <c r="E58" s="34"/>
      <c r="F58" s="108" t="str">
        <f t="shared" si="0"/>
        <v>-</v>
      </c>
      <c r="G58" s="199"/>
      <c r="H58" s="118"/>
      <c r="I58" s="26"/>
      <c r="J58" s="101" t="str">
        <f>IFERROR(MIN('MP Calculations'!$E$29/I58,1),"-")</f>
        <v>-</v>
      </c>
      <c r="K58" s="37"/>
      <c r="L58" s="26"/>
      <c r="M58" s="26"/>
      <c r="N58" s="26"/>
      <c r="O58" s="95" t="str">
        <f t="shared" si="2"/>
        <v>-</v>
      </c>
      <c r="P58" s="97" t="str">
        <f t="shared" si="1"/>
        <v>-</v>
      </c>
    </row>
    <row r="59" spans="3:16">
      <c r="C59" s="26"/>
      <c r="D59" s="115"/>
      <c r="E59" s="34"/>
      <c r="F59" s="108" t="str">
        <f t="shared" si="0"/>
        <v>-</v>
      </c>
      <c r="G59" s="199"/>
      <c r="H59" s="118"/>
      <c r="I59" s="26"/>
      <c r="J59" s="101" t="str">
        <f>IFERROR(MIN('MP Calculations'!$E$29/I59,1),"-")</f>
        <v>-</v>
      </c>
      <c r="K59" s="37"/>
      <c r="L59" s="26"/>
      <c r="M59" s="26"/>
      <c r="N59" s="26"/>
      <c r="O59" s="95" t="str">
        <f t="shared" si="2"/>
        <v>-</v>
      </c>
      <c r="P59" s="97" t="str">
        <f t="shared" si="1"/>
        <v>-</v>
      </c>
    </row>
    <row r="60" spans="3:16">
      <c r="C60" s="26"/>
      <c r="D60" s="115"/>
      <c r="E60" s="34"/>
      <c r="F60" s="108" t="str">
        <f t="shared" si="0"/>
        <v>-</v>
      </c>
      <c r="G60" s="199"/>
      <c r="H60" s="118"/>
      <c r="I60" s="26"/>
      <c r="J60" s="101" t="str">
        <f>IFERROR(MIN('MP Calculations'!$E$29/I60,1),"-")</f>
        <v>-</v>
      </c>
      <c r="K60" s="37"/>
      <c r="L60" s="26"/>
      <c r="M60" s="26"/>
      <c r="N60" s="26"/>
      <c r="O60" s="95" t="str">
        <f t="shared" si="2"/>
        <v>-</v>
      </c>
      <c r="P60" s="97" t="str">
        <f t="shared" si="1"/>
        <v>-</v>
      </c>
    </row>
    <row r="61" spans="3:16">
      <c r="C61" s="26"/>
      <c r="D61" s="115"/>
      <c r="E61" s="34"/>
      <c r="F61" s="108" t="str">
        <f t="shared" si="0"/>
        <v>-</v>
      </c>
      <c r="G61" s="199"/>
      <c r="H61" s="118"/>
      <c r="I61" s="26"/>
      <c r="J61" s="101" t="str">
        <f>IFERROR(MIN('MP Calculations'!$E$29/I61,1),"-")</f>
        <v>-</v>
      </c>
      <c r="K61" s="37"/>
      <c r="L61" s="26"/>
      <c r="M61" s="26"/>
      <c r="N61" s="26"/>
      <c r="O61" s="95" t="str">
        <f t="shared" si="2"/>
        <v>-</v>
      </c>
      <c r="P61" s="97" t="str">
        <f t="shared" si="1"/>
        <v>-</v>
      </c>
    </row>
    <row r="62" spans="3:16">
      <c r="C62" s="26"/>
      <c r="D62" s="115"/>
      <c r="E62" s="34"/>
      <c r="F62" s="108" t="str">
        <f t="shared" si="0"/>
        <v>-</v>
      </c>
      <c r="G62" s="199"/>
      <c r="H62" s="118"/>
      <c r="I62" s="26"/>
      <c r="J62" s="101" t="str">
        <f>IFERROR(MIN('MP Calculations'!$E$29/I62,1),"-")</f>
        <v>-</v>
      </c>
      <c r="K62" s="37"/>
      <c r="L62" s="26"/>
      <c r="M62" s="26"/>
      <c r="N62" s="26"/>
      <c r="O62" s="95" t="str">
        <f t="shared" si="2"/>
        <v>-</v>
      </c>
      <c r="P62" s="97" t="str">
        <f t="shared" si="1"/>
        <v>-</v>
      </c>
    </row>
    <row r="63" spans="3:16">
      <c r="C63" s="26"/>
      <c r="D63" s="115"/>
      <c r="E63" s="34"/>
      <c r="F63" s="108" t="str">
        <f t="shared" si="0"/>
        <v>-</v>
      </c>
      <c r="G63" s="199"/>
      <c r="H63" s="118"/>
      <c r="I63" s="26"/>
      <c r="J63" s="101" t="str">
        <f>IFERROR(MIN('MP Calculations'!$E$29/I63,1),"-")</f>
        <v>-</v>
      </c>
      <c r="K63" s="37"/>
      <c r="L63" s="26"/>
      <c r="M63" s="26"/>
      <c r="N63" s="26"/>
      <c r="O63" s="95" t="str">
        <f t="shared" si="2"/>
        <v>-</v>
      </c>
      <c r="P63" s="97" t="str">
        <f t="shared" si="1"/>
        <v>-</v>
      </c>
    </row>
    <row r="64" spans="3:16">
      <c r="C64" s="26"/>
      <c r="D64" s="115"/>
      <c r="E64" s="34"/>
      <c r="F64" s="108" t="str">
        <f t="shared" si="0"/>
        <v>-</v>
      </c>
      <c r="G64" s="199"/>
      <c r="H64" s="118"/>
      <c r="I64" s="26"/>
      <c r="J64" s="101" t="str">
        <f>IFERROR(MIN('MP Calculations'!$E$29/I64,1),"-")</f>
        <v>-</v>
      </c>
      <c r="K64" s="37"/>
      <c r="L64" s="26"/>
      <c r="M64" s="26"/>
      <c r="N64" s="26"/>
      <c r="O64" s="95" t="str">
        <f t="shared" si="2"/>
        <v>-</v>
      </c>
      <c r="P64" s="97" t="str">
        <f t="shared" si="1"/>
        <v>-</v>
      </c>
    </row>
    <row r="65" spans="3:16">
      <c r="C65" s="26"/>
      <c r="D65" s="115"/>
      <c r="E65" s="34"/>
      <c r="F65" s="108" t="str">
        <f t="shared" si="0"/>
        <v>-</v>
      </c>
      <c r="G65" s="199"/>
      <c r="H65" s="118"/>
      <c r="I65" s="26"/>
      <c r="J65" s="101" t="str">
        <f>IFERROR(MIN('MP Calculations'!$E$29/I65,1),"-")</f>
        <v>-</v>
      </c>
      <c r="K65" s="37"/>
      <c r="L65" s="26"/>
      <c r="M65" s="26"/>
      <c r="N65" s="26"/>
      <c r="O65" s="95" t="str">
        <f t="shared" si="2"/>
        <v>-</v>
      </c>
      <c r="P65" s="97" t="str">
        <f t="shared" si="1"/>
        <v>-</v>
      </c>
    </row>
    <row r="66" spans="3:16">
      <c r="C66" s="26"/>
      <c r="D66" s="115"/>
      <c r="E66" s="34"/>
      <c r="F66" s="108" t="str">
        <f t="shared" si="0"/>
        <v>-</v>
      </c>
      <c r="G66" s="199"/>
      <c r="H66" s="118"/>
      <c r="I66" s="26"/>
      <c r="J66" s="101" t="str">
        <f>IFERROR(MIN('MP Calculations'!$E$29/I66,1),"-")</f>
        <v>-</v>
      </c>
      <c r="K66" s="37"/>
      <c r="L66" s="26"/>
      <c r="M66" s="26"/>
      <c r="N66" s="26"/>
      <c r="O66" s="95" t="str">
        <f t="shared" si="2"/>
        <v>-</v>
      </c>
      <c r="P66" s="97" t="str">
        <f t="shared" si="1"/>
        <v>-</v>
      </c>
    </row>
    <row r="67" spans="3:16">
      <c r="C67" s="26"/>
      <c r="D67" s="115"/>
      <c r="E67" s="34"/>
      <c r="F67" s="108" t="str">
        <f t="shared" si="0"/>
        <v>-</v>
      </c>
      <c r="G67" s="199"/>
      <c r="H67" s="118"/>
      <c r="I67" s="26"/>
      <c r="J67" s="101" t="str">
        <f>IFERROR(MIN('MP Calculations'!$E$29/I67,1),"-")</f>
        <v>-</v>
      </c>
      <c r="K67" s="37"/>
      <c r="L67" s="26"/>
      <c r="M67" s="26"/>
      <c r="N67" s="26"/>
      <c r="O67" s="95" t="str">
        <f t="shared" si="2"/>
        <v>-</v>
      </c>
      <c r="P67" s="97" t="str">
        <f t="shared" si="1"/>
        <v>-</v>
      </c>
    </row>
    <row r="68" spans="3:16">
      <c r="C68" s="26"/>
      <c r="D68" s="115"/>
      <c r="E68" s="34"/>
      <c r="F68" s="108" t="str">
        <f t="shared" si="0"/>
        <v>-</v>
      </c>
      <c r="G68" s="199"/>
      <c r="H68" s="118"/>
      <c r="I68" s="26"/>
      <c r="J68" s="101" t="str">
        <f>IFERROR(MIN('MP Calculations'!$E$29/I68,1),"-")</f>
        <v>-</v>
      </c>
      <c r="K68" s="37"/>
      <c r="L68" s="26"/>
      <c r="M68" s="26"/>
      <c r="N68" s="26"/>
      <c r="O68" s="95" t="str">
        <f t="shared" si="2"/>
        <v>-</v>
      </c>
      <c r="P68" s="97" t="str">
        <f t="shared" si="1"/>
        <v>-</v>
      </c>
    </row>
    <row r="69" spans="3:16">
      <c r="C69" s="26"/>
      <c r="D69" s="115"/>
      <c r="E69" s="34"/>
      <c r="F69" s="108" t="str">
        <f t="shared" si="0"/>
        <v>-</v>
      </c>
      <c r="G69" s="199"/>
      <c r="H69" s="118"/>
      <c r="I69" s="26"/>
      <c r="J69" s="101" t="str">
        <f>IFERROR(MIN('MP Calculations'!$E$29/I69,1),"-")</f>
        <v>-</v>
      </c>
      <c r="K69" s="37"/>
      <c r="L69" s="26"/>
      <c r="M69" s="26"/>
      <c r="N69" s="26"/>
      <c r="O69" s="95" t="str">
        <f t="shared" si="2"/>
        <v>-</v>
      </c>
      <c r="P69" s="97" t="str">
        <f t="shared" si="1"/>
        <v>-</v>
      </c>
    </row>
    <row r="70" spans="3:16">
      <c r="C70" s="26"/>
      <c r="D70" s="115"/>
      <c r="E70" s="34"/>
      <c r="F70" s="108" t="str">
        <f t="shared" si="0"/>
        <v>-</v>
      </c>
      <c r="G70" s="199"/>
      <c r="H70" s="118"/>
      <c r="I70" s="26"/>
      <c r="J70" s="101" t="str">
        <f>IFERROR(MIN('MP Calculations'!$E$29/I70,1),"-")</f>
        <v>-</v>
      </c>
      <c r="K70" s="37"/>
      <c r="L70" s="26"/>
      <c r="M70" s="26"/>
      <c r="N70" s="26"/>
      <c r="O70" s="95" t="str">
        <f t="shared" si="2"/>
        <v>-</v>
      </c>
      <c r="P70" s="97" t="str">
        <f t="shared" si="1"/>
        <v>-</v>
      </c>
    </row>
    <row r="71" spans="3:16">
      <c r="C71" s="26"/>
      <c r="D71" s="115"/>
      <c r="E71" s="34"/>
      <c r="F71" s="108" t="str">
        <f t="shared" si="0"/>
        <v>-</v>
      </c>
      <c r="G71" s="199"/>
      <c r="H71" s="118"/>
      <c r="I71" s="26"/>
      <c r="J71" s="101" t="str">
        <f>IFERROR(MIN('MP Calculations'!$E$29/I71,1),"-")</f>
        <v>-</v>
      </c>
      <c r="K71" s="37"/>
      <c r="L71" s="26"/>
      <c r="M71" s="26"/>
      <c r="N71" s="26"/>
      <c r="O71" s="95" t="str">
        <f t="shared" si="2"/>
        <v>-</v>
      </c>
      <c r="P71" s="97" t="str">
        <f t="shared" si="1"/>
        <v>-</v>
      </c>
    </row>
    <row r="72" spans="3:16">
      <c r="C72" s="26"/>
      <c r="D72" s="115"/>
      <c r="E72" s="34"/>
      <c r="F72" s="108" t="str">
        <f t="shared" si="0"/>
        <v>-</v>
      </c>
      <c r="G72" s="199"/>
      <c r="H72" s="118"/>
      <c r="I72" s="26"/>
      <c r="J72" s="101" t="str">
        <f>IFERROR(MIN('MP Calculations'!$E$29/I72,1),"-")</f>
        <v>-</v>
      </c>
      <c r="K72" s="37"/>
      <c r="L72" s="26"/>
      <c r="M72" s="26"/>
      <c r="N72" s="26"/>
      <c r="O72" s="95" t="str">
        <f t="shared" si="2"/>
        <v>-</v>
      </c>
      <c r="P72" s="97" t="str">
        <f t="shared" si="1"/>
        <v>-</v>
      </c>
    </row>
    <row r="73" spans="3:16">
      <c r="C73" s="26"/>
      <c r="D73" s="115"/>
      <c r="E73" s="34"/>
      <c r="F73" s="108" t="str">
        <f t="shared" si="0"/>
        <v>-</v>
      </c>
      <c r="G73" s="199"/>
      <c r="H73" s="118"/>
      <c r="I73" s="26"/>
      <c r="J73" s="101" t="str">
        <f>IFERROR(MIN('MP Calculations'!$E$29/I73,1),"-")</f>
        <v>-</v>
      </c>
      <c r="K73" s="37"/>
      <c r="L73" s="26"/>
      <c r="M73" s="26"/>
      <c r="N73" s="26"/>
      <c r="O73" s="95" t="str">
        <f t="shared" si="2"/>
        <v>-</v>
      </c>
      <c r="P73" s="97" t="str">
        <f t="shared" si="1"/>
        <v>-</v>
      </c>
    </row>
    <row r="74" spans="3:16">
      <c r="C74" s="26"/>
      <c r="D74" s="115"/>
      <c r="E74" s="34"/>
      <c r="F74" s="108" t="str">
        <f t="shared" si="0"/>
        <v>-</v>
      </c>
      <c r="G74" s="199"/>
      <c r="H74" s="118"/>
      <c r="I74" s="26"/>
      <c r="J74" s="101" t="str">
        <f>IFERROR(MIN('MP Calculations'!$E$29/I74,1),"-")</f>
        <v>-</v>
      </c>
      <c r="K74" s="37"/>
      <c r="L74" s="26"/>
      <c r="M74" s="26"/>
      <c r="N74" s="26"/>
      <c r="O74" s="95" t="str">
        <f t="shared" si="2"/>
        <v>-</v>
      </c>
      <c r="P74" s="97" t="str">
        <f t="shared" si="1"/>
        <v>-</v>
      </c>
    </row>
    <row r="75" spans="3:16">
      <c r="C75" s="26"/>
      <c r="D75" s="115"/>
      <c r="E75" s="34"/>
      <c r="F75" s="108" t="str">
        <f t="shared" si="0"/>
        <v>-</v>
      </c>
      <c r="G75" s="199"/>
      <c r="H75" s="118"/>
      <c r="I75" s="26"/>
      <c r="J75" s="101" t="str">
        <f>IFERROR(MIN('MP Calculations'!$E$29/I75,1),"-")</f>
        <v>-</v>
      </c>
      <c r="K75" s="37"/>
      <c r="L75" s="26"/>
      <c r="M75" s="26"/>
      <c r="N75" s="26"/>
      <c r="O75" s="95" t="str">
        <f t="shared" si="2"/>
        <v>-</v>
      </c>
      <c r="P75" s="97" t="str">
        <f t="shared" si="1"/>
        <v>-</v>
      </c>
    </row>
    <row r="76" spans="3:16">
      <c r="C76" s="26"/>
      <c r="D76" s="115"/>
      <c r="E76" s="34"/>
      <c r="F76" s="108" t="str">
        <f t="shared" si="0"/>
        <v>-</v>
      </c>
      <c r="G76" s="199"/>
      <c r="H76" s="118"/>
      <c r="I76" s="26"/>
      <c r="J76" s="101" t="str">
        <f>IFERROR(MIN('MP Calculations'!$E$29/I76,1),"-")</f>
        <v>-</v>
      </c>
      <c r="K76" s="37"/>
      <c r="L76" s="26"/>
      <c r="M76" s="26"/>
      <c r="N76" s="26"/>
      <c r="O76" s="95" t="str">
        <f t="shared" si="2"/>
        <v>-</v>
      </c>
      <c r="P76" s="97" t="str">
        <f t="shared" si="1"/>
        <v>-</v>
      </c>
    </row>
    <row r="77" spans="3:16">
      <c r="C77" s="26"/>
      <c r="D77" s="115"/>
      <c r="E77" s="34"/>
      <c r="F77" s="108" t="str">
        <f t="shared" si="0"/>
        <v>-</v>
      </c>
      <c r="G77" s="199"/>
      <c r="H77" s="118"/>
      <c r="I77" s="26"/>
      <c r="J77" s="101" t="str">
        <f>IFERROR(MIN('MP Calculations'!$E$29/I77,1),"-")</f>
        <v>-</v>
      </c>
      <c r="K77" s="37"/>
      <c r="L77" s="26"/>
      <c r="M77" s="26"/>
      <c r="N77" s="26"/>
      <c r="O77" s="95" t="str">
        <f t="shared" si="2"/>
        <v>-</v>
      </c>
      <c r="P77" s="97" t="str">
        <f t="shared" si="1"/>
        <v>-</v>
      </c>
    </row>
    <row r="78" spans="3:16">
      <c r="C78" s="26"/>
      <c r="D78" s="115"/>
      <c r="E78" s="34"/>
      <c r="F78" s="108" t="str">
        <f t="shared" si="0"/>
        <v>-</v>
      </c>
      <c r="G78" s="199"/>
      <c r="H78" s="118"/>
      <c r="I78" s="26"/>
      <c r="J78" s="101" t="str">
        <f>IFERROR(MIN('MP Calculations'!$E$29/I78,1),"-")</f>
        <v>-</v>
      </c>
      <c r="K78" s="37"/>
      <c r="L78" s="26"/>
      <c r="M78" s="26"/>
      <c r="N78" s="26"/>
      <c r="O78" s="95" t="str">
        <f t="shared" si="2"/>
        <v>-</v>
      </c>
      <c r="P78" s="97" t="str">
        <f t="shared" si="1"/>
        <v>-</v>
      </c>
    </row>
    <row r="79" spans="3:16">
      <c r="C79" s="26"/>
      <c r="D79" s="115"/>
      <c r="E79" s="34"/>
      <c r="F79" s="108" t="str">
        <f t="shared" si="0"/>
        <v>-</v>
      </c>
      <c r="G79" s="199"/>
      <c r="H79" s="118"/>
      <c r="I79" s="26"/>
      <c r="J79" s="101" t="str">
        <f>IFERROR(MIN('MP Calculations'!$E$29/I79,1),"-")</f>
        <v>-</v>
      </c>
      <c r="K79" s="37"/>
      <c r="L79" s="26"/>
      <c r="M79" s="26"/>
      <c r="N79" s="26"/>
      <c r="O79" s="95" t="str">
        <f t="shared" si="2"/>
        <v>-</v>
      </c>
      <c r="P79" s="97" t="str">
        <f t="shared" si="1"/>
        <v>-</v>
      </c>
    </row>
    <row r="80" spans="3:16">
      <c r="C80" s="26"/>
      <c r="D80" s="115"/>
      <c r="E80" s="34"/>
      <c r="F80" s="108" t="str">
        <f t="shared" si="0"/>
        <v>-</v>
      </c>
      <c r="G80" s="199"/>
      <c r="H80" s="118"/>
      <c r="I80" s="26"/>
      <c r="J80" s="101" t="str">
        <f>IFERROR(MIN('MP Calculations'!$E$29/I80,1),"-")</f>
        <v>-</v>
      </c>
      <c r="K80" s="37"/>
      <c r="L80" s="26"/>
      <c r="M80" s="26"/>
      <c r="N80" s="26"/>
      <c r="O80" s="95" t="str">
        <f t="shared" si="2"/>
        <v>-</v>
      </c>
      <c r="P80" s="97" t="str">
        <f t="shared" si="1"/>
        <v>-</v>
      </c>
    </row>
    <row r="81" spans="3:16">
      <c r="C81" s="26"/>
      <c r="D81" s="115"/>
      <c r="E81" s="34"/>
      <c r="F81" s="108" t="str">
        <f t="shared" si="0"/>
        <v>-</v>
      </c>
      <c r="G81" s="199"/>
      <c r="H81" s="118"/>
      <c r="I81" s="26"/>
      <c r="J81" s="101" t="str">
        <f>IFERROR(MIN('MP Calculations'!$E$29/I81,1),"-")</f>
        <v>-</v>
      </c>
      <c r="K81" s="37"/>
      <c r="L81" s="26"/>
      <c r="M81" s="26"/>
      <c r="N81" s="26"/>
      <c r="O81" s="95" t="str">
        <f t="shared" si="2"/>
        <v>-</v>
      </c>
      <c r="P81" s="97" t="str">
        <f t="shared" si="1"/>
        <v>-</v>
      </c>
    </row>
    <row r="82" spans="3:16">
      <c r="C82" s="26"/>
      <c r="D82" s="115"/>
      <c r="E82" s="34"/>
      <c r="F82" s="108" t="str">
        <f t="shared" si="0"/>
        <v>-</v>
      </c>
      <c r="G82" s="199"/>
      <c r="H82" s="118"/>
      <c r="I82" s="26"/>
      <c r="J82" s="101" t="str">
        <f>IFERROR(MIN('MP Calculations'!$E$29/I82,1),"-")</f>
        <v>-</v>
      </c>
      <c r="K82" s="37"/>
      <c r="L82" s="26"/>
      <c r="M82" s="26"/>
      <c r="N82" s="26"/>
      <c r="O82" s="95" t="str">
        <f t="shared" si="2"/>
        <v>-</v>
      </c>
      <c r="P82" s="97" t="str">
        <f t="shared" si="1"/>
        <v>-</v>
      </c>
    </row>
    <row r="83" spans="3:16">
      <c r="C83" s="26"/>
      <c r="D83" s="115"/>
      <c r="E83" s="34"/>
      <c r="F83" s="108" t="str">
        <f t="shared" si="0"/>
        <v>-</v>
      </c>
      <c r="G83" s="199"/>
      <c r="H83" s="118"/>
      <c r="I83" s="26"/>
      <c r="J83" s="101" t="str">
        <f>IFERROR(MIN('MP Calculations'!$E$29/I83,1),"-")</f>
        <v>-</v>
      </c>
      <c r="K83" s="37"/>
      <c r="L83" s="26"/>
      <c r="M83" s="26"/>
      <c r="N83" s="26"/>
      <c r="O83" s="95" t="str">
        <f t="shared" si="2"/>
        <v>-</v>
      </c>
      <c r="P83" s="97" t="str">
        <f t="shared" si="1"/>
        <v>-</v>
      </c>
    </row>
    <row r="84" spans="3:16">
      <c r="C84" s="26"/>
      <c r="D84" s="115"/>
      <c r="E84" s="34"/>
      <c r="F84" s="108" t="str">
        <f t="shared" si="0"/>
        <v>-</v>
      </c>
      <c r="G84" s="199"/>
      <c r="H84" s="118"/>
      <c r="I84" s="26"/>
      <c r="J84" s="101" t="str">
        <f>IFERROR(MIN('MP Calculations'!$E$29/I84,1),"-")</f>
        <v>-</v>
      </c>
      <c r="K84" s="37"/>
      <c r="L84" s="26"/>
      <c r="M84" s="26"/>
      <c r="N84" s="26"/>
      <c r="O84" s="95" t="str">
        <f t="shared" si="2"/>
        <v>-</v>
      </c>
      <c r="P84" s="97" t="str">
        <f t="shared" si="1"/>
        <v>-</v>
      </c>
    </row>
    <row r="85" spans="3:16">
      <c r="C85" s="26"/>
      <c r="D85" s="115"/>
      <c r="E85" s="34"/>
      <c r="F85" s="108" t="str">
        <f t="shared" si="0"/>
        <v>-</v>
      </c>
      <c r="G85" s="199"/>
      <c r="H85" s="118"/>
      <c r="I85" s="26"/>
      <c r="J85" s="101" t="str">
        <f>IFERROR(MIN('MP Calculations'!$E$29/I85,1),"-")</f>
        <v>-</v>
      </c>
      <c r="K85" s="37"/>
      <c r="L85" s="26"/>
      <c r="M85" s="26"/>
      <c r="N85" s="26"/>
      <c r="O85" s="95" t="str">
        <f t="shared" si="2"/>
        <v>-</v>
      </c>
      <c r="P85" s="97" t="str">
        <f t="shared" si="1"/>
        <v>-</v>
      </c>
    </row>
    <row r="86" spans="3:16">
      <c r="C86" s="26"/>
      <c r="D86" s="115"/>
      <c r="E86" s="34"/>
      <c r="F86" s="108" t="str">
        <f t="shared" si="0"/>
        <v>-</v>
      </c>
      <c r="G86" s="199"/>
      <c r="H86" s="118"/>
      <c r="I86" s="26"/>
      <c r="J86" s="101" t="str">
        <f>IFERROR(MIN('MP Calculations'!$E$29/I86,1),"-")</f>
        <v>-</v>
      </c>
      <c r="K86" s="37"/>
      <c r="L86" s="26"/>
      <c r="M86" s="26"/>
      <c r="N86" s="26"/>
      <c r="O86" s="95" t="str">
        <f t="shared" si="2"/>
        <v>-</v>
      </c>
      <c r="P86" s="97" t="str">
        <f t="shared" si="1"/>
        <v>-</v>
      </c>
    </row>
    <row r="87" spans="3:16">
      <c r="C87" s="26"/>
      <c r="D87" s="115"/>
      <c r="E87" s="34"/>
      <c r="F87" s="108" t="str">
        <f t="shared" ref="F87:F218" si="3">IF(E87="","-",IF(OR(E87&lt;$E$15,E87&gt;$E$16),"ERROR - date outside of range",IF(MONTH(E87)&gt;=7,YEAR(E87)&amp;"-"&amp;IF(YEAR(E87)=1999,"00",IF(AND(YEAR(E87)&gt;=2000,YEAR(E87)&lt;2009),"0","")&amp;RIGHT(YEAR(E87),2)+1),RIGHT(YEAR(E87),4)-1&amp;"-"&amp;RIGHT(YEAR(E87),2))))</f>
        <v>-</v>
      </c>
      <c r="G87" s="199"/>
      <c r="H87" s="118"/>
      <c r="I87" s="26"/>
      <c r="J87" s="101" t="str">
        <f>IFERROR(MIN('MP Calculations'!$E$29/I87,1),"-")</f>
        <v>-</v>
      </c>
      <c r="K87" s="37"/>
      <c r="L87" s="26"/>
      <c r="M87" s="26"/>
      <c r="N87" s="26"/>
      <c r="O87" s="95" t="str">
        <f t="shared" ref="O87:O150" si="4">IF(N87="","-",L87*N87)</f>
        <v>-</v>
      </c>
      <c r="P87" s="97" t="str">
        <f t="shared" ref="P87:P218" si="5">IF(O87="-","-",IF(OR(E87&lt;$E$15,E87&gt;$E$16),0,O87*J87))</f>
        <v>-</v>
      </c>
    </row>
    <row r="88" spans="3:16">
      <c r="C88" s="26"/>
      <c r="D88" s="115"/>
      <c r="E88" s="34"/>
      <c r="F88" s="108" t="str">
        <f t="shared" si="3"/>
        <v>-</v>
      </c>
      <c r="G88" s="199"/>
      <c r="H88" s="118"/>
      <c r="I88" s="26"/>
      <c r="J88" s="101" t="str">
        <f>IFERROR(MIN('MP Calculations'!$E$29/I88,1),"-")</f>
        <v>-</v>
      </c>
      <c r="K88" s="37"/>
      <c r="L88" s="26"/>
      <c r="M88" s="26"/>
      <c r="N88" s="26"/>
      <c r="O88" s="95" t="str">
        <f t="shared" si="4"/>
        <v>-</v>
      </c>
      <c r="P88" s="97" t="str">
        <f t="shared" si="5"/>
        <v>-</v>
      </c>
    </row>
    <row r="89" spans="3:16">
      <c r="C89" s="26"/>
      <c r="D89" s="115"/>
      <c r="E89" s="34"/>
      <c r="F89" s="108" t="str">
        <f t="shared" si="3"/>
        <v>-</v>
      </c>
      <c r="G89" s="199"/>
      <c r="H89" s="118"/>
      <c r="I89" s="26"/>
      <c r="J89" s="101" t="str">
        <f>IFERROR(MIN('MP Calculations'!$E$29/I89,1),"-")</f>
        <v>-</v>
      </c>
      <c r="K89" s="37"/>
      <c r="L89" s="26"/>
      <c r="M89" s="26"/>
      <c r="N89" s="26"/>
      <c r="O89" s="95" t="str">
        <f t="shared" si="4"/>
        <v>-</v>
      </c>
      <c r="P89" s="97" t="str">
        <f t="shared" si="5"/>
        <v>-</v>
      </c>
    </row>
    <row r="90" spans="3:16">
      <c r="C90" s="26"/>
      <c r="D90" s="115"/>
      <c r="E90" s="34"/>
      <c r="F90" s="108" t="str">
        <f t="shared" si="3"/>
        <v>-</v>
      </c>
      <c r="G90" s="199"/>
      <c r="H90" s="118"/>
      <c r="I90" s="26"/>
      <c r="J90" s="101" t="str">
        <f>IFERROR(MIN('MP Calculations'!$E$29/I90,1),"-")</f>
        <v>-</v>
      </c>
      <c r="K90" s="37"/>
      <c r="L90" s="26"/>
      <c r="M90" s="26"/>
      <c r="N90" s="26"/>
      <c r="O90" s="95" t="str">
        <f t="shared" si="4"/>
        <v>-</v>
      </c>
      <c r="P90" s="97" t="str">
        <f t="shared" si="5"/>
        <v>-</v>
      </c>
    </row>
    <row r="91" spans="3:16">
      <c r="C91" s="26"/>
      <c r="D91" s="115"/>
      <c r="E91" s="34"/>
      <c r="F91" s="108" t="str">
        <f t="shared" si="3"/>
        <v>-</v>
      </c>
      <c r="G91" s="199"/>
      <c r="H91" s="118"/>
      <c r="I91" s="26"/>
      <c r="J91" s="101" t="str">
        <f>IFERROR(MIN('MP Calculations'!$E$29/I91,1),"-")</f>
        <v>-</v>
      </c>
      <c r="K91" s="37"/>
      <c r="L91" s="26"/>
      <c r="M91" s="26"/>
      <c r="N91" s="26"/>
      <c r="O91" s="95" t="str">
        <f t="shared" si="4"/>
        <v>-</v>
      </c>
      <c r="P91" s="97" t="str">
        <f t="shared" si="5"/>
        <v>-</v>
      </c>
    </row>
    <row r="92" spans="3:16">
      <c r="C92" s="26"/>
      <c r="D92" s="115"/>
      <c r="E92" s="34"/>
      <c r="F92" s="108" t="str">
        <f t="shared" si="3"/>
        <v>-</v>
      </c>
      <c r="G92" s="199"/>
      <c r="H92" s="118"/>
      <c r="I92" s="26"/>
      <c r="J92" s="101" t="str">
        <f>IFERROR(MIN('MP Calculations'!$E$29/I92,1),"-")</f>
        <v>-</v>
      </c>
      <c r="K92" s="37"/>
      <c r="L92" s="26"/>
      <c r="M92" s="26"/>
      <c r="N92" s="26"/>
      <c r="O92" s="95" t="str">
        <f t="shared" si="4"/>
        <v>-</v>
      </c>
      <c r="P92" s="97" t="str">
        <f t="shared" si="5"/>
        <v>-</v>
      </c>
    </row>
    <row r="93" spans="3:16">
      <c r="C93" s="26"/>
      <c r="D93" s="115"/>
      <c r="E93" s="34"/>
      <c r="F93" s="108" t="str">
        <f t="shared" si="3"/>
        <v>-</v>
      </c>
      <c r="G93" s="199"/>
      <c r="H93" s="118"/>
      <c r="I93" s="26"/>
      <c r="J93" s="101" t="str">
        <f>IFERROR(MIN('MP Calculations'!$E$29/I93,1),"-")</f>
        <v>-</v>
      </c>
      <c r="K93" s="37"/>
      <c r="L93" s="26"/>
      <c r="M93" s="26"/>
      <c r="N93" s="26"/>
      <c r="O93" s="95" t="str">
        <f t="shared" si="4"/>
        <v>-</v>
      </c>
      <c r="P93" s="97" t="str">
        <f t="shared" si="5"/>
        <v>-</v>
      </c>
    </row>
    <row r="94" spans="3:16">
      <c r="C94" s="26"/>
      <c r="D94" s="115"/>
      <c r="E94" s="34"/>
      <c r="F94" s="108" t="str">
        <f t="shared" si="3"/>
        <v>-</v>
      </c>
      <c r="G94" s="199"/>
      <c r="H94" s="118"/>
      <c r="I94" s="26"/>
      <c r="J94" s="101" t="str">
        <f>IFERROR(MIN('MP Calculations'!$E$29/I94,1),"-")</f>
        <v>-</v>
      </c>
      <c r="K94" s="37"/>
      <c r="L94" s="26"/>
      <c r="M94" s="26"/>
      <c r="N94" s="26"/>
      <c r="O94" s="95" t="str">
        <f t="shared" si="4"/>
        <v>-</v>
      </c>
      <c r="P94" s="97" t="str">
        <f t="shared" si="5"/>
        <v>-</v>
      </c>
    </row>
    <row r="95" spans="3:16">
      <c r="C95" s="26"/>
      <c r="D95" s="115"/>
      <c r="E95" s="34"/>
      <c r="F95" s="108" t="str">
        <f t="shared" si="3"/>
        <v>-</v>
      </c>
      <c r="G95" s="199"/>
      <c r="H95" s="118"/>
      <c r="I95" s="26"/>
      <c r="J95" s="101" t="str">
        <f>IFERROR(MIN('MP Calculations'!$E$29/I95,1),"-")</f>
        <v>-</v>
      </c>
      <c r="K95" s="37"/>
      <c r="L95" s="26"/>
      <c r="M95" s="26"/>
      <c r="N95" s="26"/>
      <c r="O95" s="95" t="str">
        <f t="shared" si="4"/>
        <v>-</v>
      </c>
      <c r="P95" s="97" t="str">
        <f t="shared" si="5"/>
        <v>-</v>
      </c>
    </row>
    <row r="96" spans="3:16">
      <c r="C96" s="26"/>
      <c r="D96" s="115"/>
      <c r="E96" s="34"/>
      <c r="F96" s="108" t="str">
        <f t="shared" si="3"/>
        <v>-</v>
      </c>
      <c r="G96" s="199"/>
      <c r="H96" s="118"/>
      <c r="I96" s="26"/>
      <c r="J96" s="101" t="str">
        <f>IFERROR(MIN('MP Calculations'!$E$29/I96,1),"-")</f>
        <v>-</v>
      </c>
      <c r="K96" s="37"/>
      <c r="L96" s="26"/>
      <c r="M96" s="26"/>
      <c r="N96" s="26"/>
      <c r="O96" s="95" t="str">
        <f t="shared" si="4"/>
        <v>-</v>
      </c>
      <c r="P96" s="97" t="str">
        <f t="shared" si="5"/>
        <v>-</v>
      </c>
    </row>
    <row r="97" spans="3:16">
      <c r="C97" s="26"/>
      <c r="D97" s="115"/>
      <c r="E97" s="34"/>
      <c r="F97" s="108" t="str">
        <f t="shared" si="3"/>
        <v>-</v>
      </c>
      <c r="G97" s="199"/>
      <c r="H97" s="118"/>
      <c r="I97" s="26"/>
      <c r="J97" s="101" t="str">
        <f>IFERROR(MIN('MP Calculations'!$E$29/I97,1),"-")</f>
        <v>-</v>
      </c>
      <c r="K97" s="37"/>
      <c r="L97" s="26"/>
      <c r="M97" s="26"/>
      <c r="N97" s="26"/>
      <c r="O97" s="95" t="str">
        <f t="shared" si="4"/>
        <v>-</v>
      </c>
      <c r="P97" s="97" t="str">
        <f t="shared" si="5"/>
        <v>-</v>
      </c>
    </row>
    <row r="98" spans="3:16">
      <c r="C98" s="26"/>
      <c r="D98" s="115"/>
      <c r="E98" s="34"/>
      <c r="F98" s="108" t="str">
        <f t="shared" si="3"/>
        <v>-</v>
      </c>
      <c r="G98" s="199"/>
      <c r="H98" s="118"/>
      <c r="I98" s="26"/>
      <c r="J98" s="101" t="str">
        <f>IFERROR(MIN('MP Calculations'!$E$29/I98,1),"-")</f>
        <v>-</v>
      </c>
      <c r="K98" s="37"/>
      <c r="L98" s="26"/>
      <c r="M98" s="26"/>
      <c r="N98" s="26"/>
      <c r="O98" s="95" t="str">
        <f t="shared" si="4"/>
        <v>-</v>
      </c>
      <c r="P98" s="97" t="str">
        <f t="shared" si="5"/>
        <v>-</v>
      </c>
    </row>
    <row r="99" spans="3:16">
      <c r="C99" s="26"/>
      <c r="D99" s="115"/>
      <c r="E99" s="34"/>
      <c r="F99" s="108" t="str">
        <f t="shared" si="3"/>
        <v>-</v>
      </c>
      <c r="G99" s="199"/>
      <c r="H99" s="118"/>
      <c r="I99" s="26"/>
      <c r="J99" s="101" t="str">
        <f>IFERROR(MIN('MP Calculations'!$E$29/I99,1),"-")</f>
        <v>-</v>
      </c>
      <c r="K99" s="37"/>
      <c r="L99" s="26"/>
      <c r="M99" s="26"/>
      <c r="N99" s="26"/>
      <c r="O99" s="95" t="str">
        <f t="shared" si="4"/>
        <v>-</v>
      </c>
      <c r="P99" s="97" t="str">
        <f t="shared" si="5"/>
        <v>-</v>
      </c>
    </row>
    <row r="100" spans="3:16">
      <c r="C100" s="26"/>
      <c r="D100" s="115"/>
      <c r="E100" s="34"/>
      <c r="F100" s="108" t="str">
        <f t="shared" si="3"/>
        <v>-</v>
      </c>
      <c r="G100" s="199"/>
      <c r="H100" s="118"/>
      <c r="I100" s="26"/>
      <c r="J100" s="101" t="str">
        <f>IFERROR(MIN('MP Calculations'!$E$29/I100,1),"-")</f>
        <v>-</v>
      </c>
      <c r="K100" s="37"/>
      <c r="L100" s="26"/>
      <c r="M100" s="26"/>
      <c r="N100" s="26"/>
      <c r="O100" s="95" t="str">
        <f t="shared" si="4"/>
        <v>-</v>
      </c>
      <c r="P100" s="97" t="str">
        <f t="shared" si="5"/>
        <v>-</v>
      </c>
    </row>
    <row r="101" spans="3:16">
      <c r="C101" s="26"/>
      <c r="D101" s="115"/>
      <c r="E101" s="34"/>
      <c r="F101" s="108" t="str">
        <f t="shared" si="3"/>
        <v>-</v>
      </c>
      <c r="G101" s="199"/>
      <c r="H101" s="118"/>
      <c r="I101" s="26"/>
      <c r="J101" s="101" t="str">
        <f>IFERROR(MIN('MP Calculations'!$E$29/I101,1),"-")</f>
        <v>-</v>
      </c>
      <c r="K101" s="37"/>
      <c r="L101" s="26"/>
      <c r="M101" s="26"/>
      <c r="N101" s="26"/>
      <c r="O101" s="95" t="str">
        <f t="shared" si="4"/>
        <v>-</v>
      </c>
      <c r="P101" s="97" t="str">
        <f t="shared" si="5"/>
        <v>-</v>
      </c>
    </row>
    <row r="102" spans="3:16">
      <c r="C102" s="26"/>
      <c r="D102" s="115"/>
      <c r="E102" s="34"/>
      <c r="F102" s="108" t="str">
        <f t="shared" si="3"/>
        <v>-</v>
      </c>
      <c r="G102" s="199"/>
      <c r="H102" s="118"/>
      <c r="I102" s="26"/>
      <c r="J102" s="101" t="str">
        <f>IFERROR(MIN('MP Calculations'!$E$29/I102,1),"-")</f>
        <v>-</v>
      </c>
      <c r="K102" s="37"/>
      <c r="L102" s="26"/>
      <c r="M102" s="26"/>
      <c r="N102" s="26"/>
      <c r="O102" s="95" t="str">
        <f t="shared" si="4"/>
        <v>-</v>
      </c>
      <c r="P102" s="97" t="str">
        <f t="shared" si="5"/>
        <v>-</v>
      </c>
    </row>
    <row r="103" spans="3:16">
      <c r="C103" s="26"/>
      <c r="D103" s="115"/>
      <c r="E103" s="34"/>
      <c r="F103" s="108" t="str">
        <f t="shared" si="3"/>
        <v>-</v>
      </c>
      <c r="G103" s="199"/>
      <c r="H103" s="118"/>
      <c r="I103" s="26"/>
      <c r="J103" s="101" t="str">
        <f>IFERROR(MIN('MP Calculations'!$E$29/I103,1),"-")</f>
        <v>-</v>
      </c>
      <c r="K103" s="37"/>
      <c r="L103" s="26"/>
      <c r="M103" s="26"/>
      <c r="N103" s="26"/>
      <c r="O103" s="95" t="str">
        <f t="shared" si="4"/>
        <v>-</v>
      </c>
      <c r="P103" s="97" t="str">
        <f t="shared" si="5"/>
        <v>-</v>
      </c>
    </row>
    <row r="104" spans="3:16">
      <c r="C104" s="26"/>
      <c r="D104" s="115"/>
      <c r="E104" s="34"/>
      <c r="F104" s="108" t="str">
        <f t="shared" si="3"/>
        <v>-</v>
      </c>
      <c r="G104" s="199"/>
      <c r="H104" s="118"/>
      <c r="I104" s="26"/>
      <c r="J104" s="101" t="str">
        <f>IFERROR(MIN('MP Calculations'!$E$29/I104,1),"-")</f>
        <v>-</v>
      </c>
      <c r="K104" s="37"/>
      <c r="L104" s="26"/>
      <c r="M104" s="26"/>
      <c r="N104" s="26"/>
      <c r="O104" s="95" t="str">
        <f t="shared" si="4"/>
        <v>-</v>
      </c>
      <c r="P104" s="97" t="str">
        <f t="shared" si="5"/>
        <v>-</v>
      </c>
    </row>
    <row r="105" spans="3:16">
      <c r="C105" s="26"/>
      <c r="D105" s="115"/>
      <c r="E105" s="34"/>
      <c r="F105" s="108" t="str">
        <f t="shared" si="3"/>
        <v>-</v>
      </c>
      <c r="G105" s="199"/>
      <c r="H105" s="118"/>
      <c r="I105" s="26"/>
      <c r="J105" s="101" t="str">
        <f>IFERROR(MIN('MP Calculations'!$E$29/I105,1),"-")</f>
        <v>-</v>
      </c>
      <c r="K105" s="37"/>
      <c r="L105" s="26"/>
      <c r="M105" s="26"/>
      <c r="N105" s="26"/>
      <c r="O105" s="95" t="str">
        <f t="shared" si="4"/>
        <v>-</v>
      </c>
      <c r="P105" s="97" t="str">
        <f t="shared" si="5"/>
        <v>-</v>
      </c>
    </row>
    <row r="106" spans="3:16">
      <c r="C106" s="26"/>
      <c r="D106" s="115"/>
      <c r="E106" s="34"/>
      <c r="F106" s="108" t="str">
        <f t="shared" si="3"/>
        <v>-</v>
      </c>
      <c r="G106" s="199"/>
      <c r="H106" s="118"/>
      <c r="I106" s="26"/>
      <c r="J106" s="101" t="str">
        <f>IFERROR(MIN('MP Calculations'!$E$29/I106,1),"-")</f>
        <v>-</v>
      </c>
      <c r="K106" s="37"/>
      <c r="L106" s="26"/>
      <c r="M106" s="26"/>
      <c r="N106" s="26"/>
      <c r="O106" s="95" t="str">
        <f t="shared" si="4"/>
        <v>-</v>
      </c>
      <c r="P106" s="97" t="str">
        <f t="shared" si="5"/>
        <v>-</v>
      </c>
    </row>
    <row r="107" spans="3:16">
      <c r="C107" s="26"/>
      <c r="D107" s="115"/>
      <c r="E107" s="34"/>
      <c r="F107" s="108" t="str">
        <f t="shared" si="3"/>
        <v>-</v>
      </c>
      <c r="G107" s="199"/>
      <c r="H107" s="118"/>
      <c r="I107" s="26"/>
      <c r="J107" s="101" t="str">
        <f>IFERROR(MIN('MP Calculations'!$E$29/I107,1),"-")</f>
        <v>-</v>
      </c>
      <c r="K107" s="37"/>
      <c r="L107" s="26"/>
      <c r="M107" s="26"/>
      <c r="N107" s="26"/>
      <c r="O107" s="95" t="str">
        <f t="shared" si="4"/>
        <v>-</v>
      </c>
      <c r="P107" s="97" t="str">
        <f t="shared" si="5"/>
        <v>-</v>
      </c>
    </row>
    <row r="108" spans="3:16">
      <c r="C108" s="26"/>
      <c r="D108" s="115"/>
      <c r="E108" s="34"/>
      <c r="F108" s="108" t="str">
        <f t="shared" si="3"/>
        <v>-</v>
      </c>
      <c r="G108" s="199"/>
      <c r="H108" s="118"/>
      <c r="I108" s="26"/>
      <c r="J108" s="101" t="str">
        <f>IFERROR(MIN('MP Calculations'!$E$29/I108,1),"-")</f>
        <v>-</v>
      </c>
      <c r="K108" s="37"/>
      <c r="L108" s="26"/>
      <c r="M108" s="26"/>
      <c r="N108" s="26"/>
      <c r="O108" s="95" t="str">
        <f t="shared" si="4"/>
        <v>-</v>
      </c>
      <c r="P108" s="97" t="str">
        <f t="shared" si="5"/>
        <v>-</v>
      </c>
    </row>
    <row r="109" spans="3:16">
      <c r="C109" s="26"/>
      <c r="D109" s="115"/>
      <c r="E109" s="34"/>
      <c r="F109" s="108" t="str">
        <f t="shared" si="3"/>
        <v>-</v>
      </c>
      <c r="G109" s="199"/>
      <c r="H109" s="118"/>
      <c r="I109" s="26"/>
      <c r="J109" s="101" t="str">
        <f>IFERROR(MIN('MP Calculations'!$E$29/I109,1),"-")</f>
        <v>-</v>
      </c>
      <c r="K109" s="37"/>
      <c r="L109" s="26"/>
      <c r="M109" s="26"/>
      <c r="N109" s="26"/>
      <c r="O109" s="95" t="str">
        <f t="shared" si="4"/>
        <v>-</v>
      </c>
      <c r="P109" s="97" t="str">
        <f t="shared" si="5"/>
        <v>-</v>
      </c>
    </row>
    <row r="110" spans="3:16">
      <c r="C110" s="26"/>
      <c r="D110" s="115"/>
      <c r="E110" s="34"/>
      <c r="F110" s="108" t="str">
        <f t="shared" si="3"/>
        <v>-</v>
      </c>
      <c r="G110" s="199"/>
      <c r="H110" s="118"/>
      <c r="I110" s="26"/>
      <c r="J110" s="101" t="str">
        <f>IFERROR(MIN('MP Calculations'!$E$29/I110,1),"-")</f>
        <v>-</v>
      </c>
      <c r="K110" s="37"/>
      <c r="L110" s="26"/>
      <c r="M110" s="26"/>
      <c r="N110" s="26"/>
      <c r="O110" s="95" t="str">
        <f t="shared" si="4"/>
        <v>-</v>
      </c>
      <c r="P110" s="97" t="str">
        <f t="shared" si="5"/>
        <v>-</v>
      </c>
    </row>
    <row r="111" spans="3:16">
      <c r="C111" s="26"/>
      <c r="D111" s="115"/>
      <c r="E111" s="34"/>
      <c r="F111" s="108" t="str">
        <f t="shared" si="3"/>
        <v>-</v>
      </c>
      <c r="G111" s="199"/>
      <c r="H111" s="118"/>
      <c r="I111" s="26"/>
      <c r="J111" s="101" t="str">
        <f>IFERROR(MIN('MP Calculations'!$E$29/I111,1),"-")</f>
        <v>-</v>
      </c>
      <c r="K111" s="37"/>
      <c r="L111" s="26"/>
      <c r="M111" s="26"/>
      <c r="N111" s="26"/>
      <c r="O111" s="95" t="str">
        <f t="shared" si="4"/>
        <v>-</v>
      </c>
      <c r="P111" s="97" t="str">
        <f t="shared" si="5"/>
        <v>-</v>
      </c>
    </row>
    <row r="112" spans="3:16">
      <c r="C112" s="26"/>
      <c r="D112" s="115"/>
      <c r="E112" s="34"/>
      <c r="F112" s="108" t="str">
        <f t="shared" si="3"/>
        <v>-</v>
      </c>
      <c r="G112" s="199"/>
      <c r="H112" s="118"/>
      <c r="I112" s="26"/>
      <c r="J112" s="101" t="str">
        <f>IFERROR(MIN('MP Calculations'!$E$29/I112,1),"-")</f>
        <v>-</v>
      </c>
      <c r="K112" s="37"/>
      <c r="L112" s="26"/>
      <c r="M112" s="26"/>
      <c r="N112" s="26"/>
      <c r="O112" s="95" t="str">
        <f t="shared" si="4"/>
        <v>-</v>
      </c>
      <c r="P112" s="97" t="str">
        <f t="shared" si="5"/>
        <v>-</v>
      </c>
    </row>
    <row r="113" spans="3:16">
      <c r="C113" s="26"/>
      <c r="D113" s="115"/>
      <c r="E113" s="34"/>
      <c r="F113" s="108" t="str">
        <f t="shared" si="3"/>
        <v>-</v>
      </c>
      <c r="G113" s="199"/>
      <c r="H113" s="118"/>
      <c r="I113" s="26"/>
      <c r="J113" s="101" t="str">
        <f>IFERROR(MIN('MP Calculations'!$E$29/I113,1),"-")</f>
        <v>-</v>
      </c>
      <c r="K113" s="37"/>
      <c r="L113" s="26"/>
      <c r="M113" s="26"/>
      <c r="N113" s="26"/>
      <c r="O113" s="95" t="str">
        <f t="shared" si="4"/>
        <v>-</v>
      </c>
      <c r="P113" s="97" t="str">
        <f t="shared" si="5"/>
        <v>-</v>
      </c>
    </row>
    <row r="114" spans="3:16">
      <c r="C114" s="26"/>
      <c r="D114" s="115"/>
      <c r="E114" s="34"/>
      <c r="F114" s="108" t="str">
        <f t="shared" si="3"/>
        <v>-</v>
      </c>
      <c r="G114" s="199"/>
      <c r="H114" s="118"/>
      <c r="I114" s="26"/>
      <c r="J114" s="101" t="str">
        <f>IFERROR(MIN('MP Calculations'!$E$29/I114,1),"-")</f>
        <v>-</v>
      </c>
      <c r="K114" s="37"/>
      <c r="L114" s="26"/>
      <c r="M114" s="26"/>
      <c r="N114" s="26"/>
      <c r="O114" s="95" t="str">
        <f t="shared" si="4"/>
        <v>-</v>
      </c>
      <c r="P114" s="97" t="str">
        <f t="shared" si="5"/>
        <v>-</v>
      </c>
    </row>
    <row r="115" spans="3:16">
      <c r="C115" s="26"/>
      <c r="D115" s="115"/>
      <c r="E115" s="34"/>
      <c r="F115" s="108" t="str">
        <f t="shared" si="3"/>
        <v>-</v>
      </c>
      <c r="G115" s="199"/>
      <c r="H115" s="118"/>
      <c r="I115" s="26"/>
      <c r="J115" s="101" t="str">
        <f>IFERROR(MIN('MP Calculations'!$E$29/I115,1),"-")</f>
        <v>-</v>
      </c>
      <c r="K115" s="37"/>
      <c r="L115" s="26"/>
      <c r="M115" s="26"/>
      <c r="N115" s="26"/>
      <c r="O115" s="95" t="str">
        <f t="shared" si="4"/>
        <v>-</v>
      </c>
      <c r="P115" s="97" t="str">
        <f t="shared" si="5"/>
        <v>-</v>
      </c>
    </row>
    <row r="116" spans="3:16">
      <c r="C116" s="26"/>
      <c r="D116" s="115"/>
      <c r="E116" s="34"/>
      <c r="F116" s="108" t="str">
        <f t="shared" si="3"/>
        <v>-</v>
      </c>
      <c r="G116" s="199"/>
      <c r="H116" s="118"/>
      <c r="I116" s="26"/>
      <c r="J116" s="101" t="str">
        <f>IFERROR(MIN('MP Calculations'!$E$29/I116,1),"-")</f>
        <v>-</v>
      </c>
      <c r="K116" s="37"/>
      <c r="L116" s="26"/>
      <c r="M116" s="26"/>
      <c r="N116" s="26"/>
      <c r="O116" s="95" t="str">
        <f t="shared" si="4"/>
        <v>-</v>
      </c>
      <c r="P116" s="97" t="str">
        <f t="shared" si="5"/>
        <v>-</v>
      </c>
    </row>
    <row r="117" spans="3:16">
      <c r="C117" s="26"/>
      <c r="D117" s="115"/>
      <c r="E117" s="34"/>
      <c r="F117" s="108" t="str">
        <f t="shared" si="3"/>
        <v>-</v>
      </c>
      <c r="G117" s="199"/>
      <c r="H117" s="118"/>
      <c r="I117" s="26"/>
      <c r="J117" s="101" t="str">
        <f>IFERROR(MIN('MP Calculations'!$E$29/I117,1),"-")</f>
        <v>-</v>
      </c>
      <c r="K117" s="37"/>
      <c r="L117" s="26"/>
      <c r="M117" s="26"/>
      <c r="N117" s="26"/>
      <c r="O117" s="95" t="str">
        <f t="shared" si="4"/>
        <v>-</v>
      </c>
      <c r="P117" s="97" t="str">
        <f t="shared" si="5"/>
        <v>-</v>
      </c>
    </row>
    <row r="118" spans="3:16">
      <c r="C118" s="26"/>
      <c r="D118" s="115"/>
      <c r="E118" s="34"/>
      <c r="F118" s="108" t="str">
        <f t="shared" si="3"/>
        <v>-</v>
      </c>
      <c r="G118" s="199"/>
      <c r="H118" s="118"/>
      <c r="I118" s="26"/>
      <c r="J118" s="101" t="str">
        <f>IFERROR(MIN('MP Calculations'!$E$29/I118,1),"-")</f>
        <v>-</v>
      </c>
      <c r="K118" s="37"/>
      <c r="L118" s="26"/>
      <c r="M118" s="26"/>
      <c r="N118" s="26"/>
      <c r="O118" s="95" t="str">
        <f t="shared" si="4"/>
        <v>-</v>
      </c>
      <c r="P118" s="97" t="str">
        <f t="shared" si="5"/>
        <v>-</v>
      </c>
    </row>
    <row r="119" spans="3:16">
      <c r="C119" s="26"/>
      <c r="D119" s="115"/>
      <c r="E119" s="34"/>
      <c r="F119" s="108" t="str">
        <f t="shared" si="3"/>
        <v>-</v>
      </c>
      <c r="G119" s="199"/>
      <c r="H119" s="118"/>
      <c r="I119" s="26"/>
      <c r="J119" s="101" t="str">
        <f>IFERROR(MIN('MP Calculations'!$E$29/I119,1),"-")</f>
        <v>-</v>
      </c>
      <c r="K119" s="37"/>
      <c r="L119" s="26"/>
      <c r="M119" s="26"/>
      <c r="N119" s="26"/>
      <c r="O119" s="95" t="str">
        <f t="shared" si="4"/>
        <v>-</v>
      </c>
      <c r="P119" s="97" t="str">
        <f t="shared" si="5"/>
        <v>-</v>
      </c>
    </row>
    <row r="120" spans="3:16">
      <c r="C120" s="26"/>
      <c r="D120" s="115"/>
      <c r="E120" s="34"/>
      <c r="F120" s="108" t="str">
        <f t="shared" ref="F120:F183" si="6">IF(E120="","-",IF(OR(E120&lt;$E$15,E120&gt;$E$16),"ERROR - date outside of range",IF(MONTH(E120)&gt;=7,YEAR(E120)&amp;"-"&amp;IF(YEAR(E120)=1999,"00",IF(AND(YEAR(E120)&gt;=2000,YEAR(E120)&lt;2009),"0","")&amp;RIGHT(YEAR(E120),2)+1),RIGHT(YEAR(E120),4)-1&amp;"-"&amp;RIGHT(YEAR(E120),2))))</f>
        <v>-</v>
      </c>
      <c r="G120" s="199"/>
      <c r="H120" s="118"/>
      <c r="I120" s="26"/>
      <c r="J120" s="101" t="str">
        <f>IFERROR(MIN('MP Calculations'!$E$29/I120,1),"-")</f>
        <v>-</v>
      </c>
      <c r="K120" s="37"/>
      <c r="L120" s="26"/>
      <c r="M120" s="26"/>
      <c r="N120" s="26"/>
      <c r="O120" s="95" t="str">
        <f t="shared" si="4"/>
        <v>-</v>
      </c>
      <c r="P120" s="97" t="str">
        <f t="shared" ref="P120:P183" si="7">IF(O120="-","-",IF(OR(E120&lt;$E$15,E120&gt;$E$16),0,O120*J120))</f>
        <v>-</v>
      </c>
    </row>
    <row r="121" spans="3:16">
      <c r="C121" s="26"/>
      <c r="D121" s="115"/>
      <c r="E121" s="34"/>
      <c r="F121" s="108" t="str">
        <f t="shared" si="6"/>
        <v>-</v>
      </c>
      <c r="G121" s="199"/>
      <c r="H121" s="118"/>
      <c r="I121" s="26"/>
      <c r="J121" s="101" t="str">
        <f>IFERROR(MIN('MP Calculations'!$E$29/I121,1),"-")</f>
        <v>-</v>
      </c>
      <c r="K121" s="37"/>
      <c r="L121" s="26"/>
      <c r="M121" s="26"/>
      <c r="N121" s="26"/>
      <c r="O121" s="95" t="str">
        <f t="shared" si="4"/>
        <v>-</v>
      </c>
      <c r="P121" s="97" t="str">
        <f t="shared" si="7"/>
        <v>-</v>
      </c>
    </row>
    <row r="122" spans="3:16">
      <c r="C122" s="26"/>
      <c r="D122" s="115"/>
      <c r="E122" s="34"/>
      <c r="F122" s="108" t="str">
        <f t="shared" si="6"/>
        <v>-</v>
      </c>
      <c r="G122" s="199"/>
      <c r="H122" s="118"/>
      <c r="I122" s="26"/>
      <c r="J122" s="101" t="str">
        <f>IFERROR(MIN('MP Calculations'!$E$29/I122,1),"-")</f>
        <v>-</v>
      </c>
      <c r="K122" s="37"/>
      <c r="L122" s="26"/>
      <c r="M122" s="26"/>
      <c r="N122" s="26"/>
      <c r="O122" s="95" t="str">
        <f t="shared" si="4"/>
        <v>-</v>
      </c>
      <c r="P122" s="97" t="str">
        <f t="shared" si="7"/>
        <v>-</v>
      </c>
    </row>
    <row r="123" spans="3:16">
      <c r="C123" s="26"/>
      <c r="D123" s="115"/>
      <c r="E123" s="34"/>
      <c r="F123" s="108" t="str">
        <f t="shared" si="6"/>
        <v>-</v>
      </c>
      <c r="G123" s="199"/>
      <c r="H123" s="118"/>
      <c r="I123" s="26"/>
      <c r="J123" s="101" t="str">
        <f>IFERROR(MIN('MP Calculations'!$E$29/I123,1),"-")</f>
        <v>-</v>
      </c>
      <c r="K123" s="37"/>
      <c r="L123" s="26"/>
      <c r="M123" s="26"/>
      <c r="N123" s="26"/>
      <c r="O123" s="95" t="str">
        <f t="shared" si="4"/>
        <v>-</v>
      </c>
      <c r="P123" s="97" t="str">
        <f t="shared" si="7"/>
        <v>-</v>
      </c>
    </row>
    <row r="124" spans="3:16">
      <c r="C124" s="26"/>
      <c r="D124" s="115"/>
      <c r="E124" s="34"/>
      <c r="F124" s="108" t="str">
        <f t="shared" si="6"/>
        <v>-</v>
      </c>
      <c r="G124" s="199"/>
      <c r="H124" s="118"/>
      <c r="I124" s="26"/>
      <c r="J124" s="101" t="str">
        <f>IFERROR(MIN('MP Calculations'!$E$29/I124,1),"-")</f>
        <v>-</v>
      </c>
      <c r="K124" s="37"/>
      <c r="L124" s="26"/>
      <c r="M124" s="26"/>
      <c r="N124" s="26"/>
      <c r="O124" s="95" t="str">
        <f t="shared" si="4"/>
        <v>-</v>
      </c>
      <c r="P124" s="97" t="str">
        <f t="shared" si="7"/>
        <v>-</v>
      </c>
    </row>
    <row r="125" spans="3:16">
      <c r="C125" s="26"/>
      <c r="D125" s="115"/>
      <c r="E125" s="34"/>
      <c r="F125" s="108" t="str">
        <f t="shared" si="6"/>
        <v>-</v>
      </c>
      <c r="G125" s="199"/>
      <c r="H125" s="118"/>
      <c r="I125" s="26"/>
      <c r="J125" s="101" t="str">
        <f>IFERROR(MIN('MP Calculations'!$E$29/I125,1),"-")</f>
        <v>-</v>
      </c>
      <c r="K125" s="37"/>
      <c r="L125" s="26"/>
      <c r="M125" s="26"/>
      <c r="N125" s="26"/>
      <c r="O125" s="95" t="str">
        <f t="shared" si="4"/>
        <v>-</v>
      </c>
      <c r="P125" s="97" t="str">
        <f t="shared" si="7"/>
        <v>-</v>
      </c>
    </row>
    <row r="126" spans="3:16">
      <c r="C126" s="26"/>
      <c r="D126" s="115"/>
      <c r="E126" s="34"/>
      <c r="F126" s="108" t="str">
        <f t="shared" si="6"/>
        <v>-</v>
      </c>
      <c r="G126" s="199"/>
      <c r="H126" s="118"/>
      <c r="I126" s="26"/>
      <c r="J126" s="101" t="str">
        <f>IFERROR(MIN('MP Calculations'!$E$29/I126,1),"-")</f>
        <v>-</v>
      </c>
      <c r="K126" s="37"/>
      <c r="L126" s="26"/>
      <c r="M126" s="26"/>
      <c r="N126" s="26"/>
      <c r="O126" s="95" t="str">
        <f t="shared" si="4"/>
        <v>-</v>
      </c>
      <c r="P126" s="97" t="str">
        <f t="shared" si="7"/>
        <v>-</v>
      </c>
    </row>
    <row r="127" spans="3:16">
      <c r="C127" s="26"/>
      <c r="D127" s="115"/>
      <c r="E127" s="34"/>
      <c r="F127" s="108" t="str">
        <f t="shared" si="6"/>
        <v>-</v>
      </c>
      <c r="G127" s="199"/>
      <c r="H127" s="118"/>
      <c r="I127" s="26"/>
      <c r="J127" s="101" t="str">
        <f>IFERROR(MIN('MP Calculations'!$E$29/I127,1),"-")</f>
        <v>-</v>
      </c>
      <c r="K127" s="37"/>
      <c r="L127" s="26"/>
      <c r="M127" s="26"/>
      <c r="N127" s="26"/>
      <c r="O127" s="95" t="str">
        <f t="shared" si="4"/>
        <v>-</v>
      </c>
      <c r="P127" s="97" t="str">
        <f t="shared" si="7"/>
        <v>-</v>
      </c>
    </row>
    <row r="128" spans="3:16">
      <c r="C128" s="26"/>
      <c r="D128" s="115"/>
      <c r="E128" s="34"/>
      <c r="F128" s="108" t="str">
        <f t="shared" si="6"/>
        <v>-</v>
      </c>
      <c r="G128" s="199"/>
      <c r="H128" s="118"/>
      <c r="I128" s="26"/>
      <c r="J128" s="101" t="str">
        <f>IFERROR(MIN('MP Calculations'!$E$29/I128,1),"-")</f>
        <v>-</v>
      </c>
      <c r="K128" s="37"/>
      <c r="L128" s="26"/>
      <c r="M128" s="26"/>
      <c r="N128" s="26"/>
      <c r="O128" s="95" t="str">
        <f t="shared" si="4"/>
        <v>-</v>
      </c>
      <c r="P128" s="97" t="str">
        <f t="shared" si="7"/>
        <v>-</v>
      </c>
    </row>
    <row r="129" spans="3:16">
      <c r="C129" s="26"/>
      <c r="D129" s="115"/>
      <c r="E129" s="34"/>
      <c r="F129" s="108" t="str">
        <f t="shared" si="6"/>
        <v>-</v>
      </c>
      <c r="G129" s="199"/>
      <c r="H129" s="118"/>
      <c r="I129" s="26"/>
      <c r="J129" s="101" t="str">
        <f>IFERROR(MIN('MP Calculations'!$E$29/I129,1),"-")</f>
        <v>-</v>
      </c>
      <c r="K129" s="37"/>
      <c r="L129" s="26"/>
      <c r="M129" s="26"/>
      <c r="N129" s="26"/>
      <c r="O129" s="95" t="str">
        <f t="shared" si="4"/>
        <v>-</v>
      </c>
      <c r="P129" s="97" t="str">
        <f t="shared" si="7"/>
        <v>-</v>
      </c>
    </row>
    <row r="130" spans="3:16">
      <c r="C130" s="26"/>
      <c r="D130" s="115"/>
      <c r="E130" s="34"/>
      <c r="F130" s="108" t="str">
        <f t="shared" si="6"/>
        <v>-</v>
      </c>
      <c r="G130" s="199"/>
      <c r="H130" s="118"/>
      <c r="I130" s="26"/>
      <c r="J130" s="101" t="str">
        <f>IFERROR(MIN('MP Calculations'!$E$29/I130,1),"-")</f>
        <v>-</v>
      </c>
      <c r="K130" s="37"/>
      <c r="L130" s="26"/>
      <c r="M130" s="26"/>
      <c r="N130" s="26"/>
      <c r="O130" s="95" t="str">
        <f t="shared" si="4"/>
        <v>-</v>
      </c>
      <c r="P130" s="97" t="str">
        <f t="shared" si="7"/>
        <v>-</v>
      </c>
    </row>
    <row r="131" spans="3:16">
      <c r="C131" s="26"/>
      <c r="D131" s="115"/>
      <c r="E131" s="34"/>
      <c r="F131" s="108" t="str">
        <f t="shared" si="6"/>
        <v>-</v>
      </c>
      <c r="G131" s="199"/>
      <c r="H131" s="118"/>
      <c r="I131" s="26"/>
      <c r="J131" s="101" t="str">
        <f>IFERROR(MIN('MP Calculations'!$E$29/I131,1),"-")</f>
        <v>-</v>
      </c>
      <c r="K131" s="37"/>
      <c r="L131" s="26"/>
      <c r="M131" s="26"/>
      <c r="N131" s="26"/>
      <c r="O131" s="95" t="str">
        <f t="shared" si="4"/>
        <v>-</v>
      </c>
      <c r="P131" s="97" t="str">
        <f t="shared" si="7"/>
        <v>-</v>
      </c>
    </row>
    <row r="132" spans="3:16">
      <c r="C132" s="26"/>
      <c r="D132" s="115"/>
      <c r="E132" s="34"/>
      <c r="F132" s="108" t="str">
        <f t="shared" si="6"/>
        <v>-</v>
      </c>
      <c r="G132" s="199"/>
      <c r="H132" s="118"/>
      <c r="I132" s="26"/>
      <c r="J132" s="101" t="str">
        <f>IFERROR(MIN('MP Calculations'!$E$29/I132,1),"-")</f>
        <v>-</v>
      </c>
      <c r="K132" s="37"/>
      <c r="L132" s="26"/>
      <c r="M132" s="26"/>
      <c r="N132" s="26"/>
      <c r="O132" s="95" t="str">
        <f t="shared" si="4"/>
        <v>-</v>
      </c>
      <c r="P132" s="97" t="str">
        <f t="shared" si="7"/>
        <v>-</v>
      </c>
    </row>
    <row r="133" spans="3:16">
      <c r="C133" s="26"/>
      <c r="D133" s="115"/>
      <c r="E133" s="34"/>
      <c r="F133" s="108" t="str">
        <f t="shared" si="6"/>
        <v>-</v>
      </c>
      <c r="G133" s="199"/>
      <c r="H133" s="118"/>
      <c r="I133" s="26"/>
      <c r="J133" s="101" t="str">
        <f>IFERROR(MIN('MP Calculations'!$E$29/I133,1),"-")</f>
        <v>-</v>
      </c>
      <c r="K133" s="37"/>
      <c r="L133" s="26"/>
      <c r="M133" s="26"/>
      <c r="N133" s="26"/>
      <c r="O133" s="95" t="str">
        <f t="shared" si="4"/>
        <v>-</v>
      </c>
      <c r="P133" s="97" t="str">
        <f t="shared" si="7"/>
        <v>-</v>
      </c>
    </row>
    <row r="134" spans="3:16">
      <c r="C134" s="26"/>
      <c r="D134" s="115"/>
      <c r="E134" s="34"/>
      <c r="F134" s="108" t="str">
        <f t="shared" si="6"/>
        <v>-</v>
      </c>
      <c r="G134" s="199"/>
      <c r="H134" s="118"/>
      <c r="I134" s="26"/>
      <c r="J134" s="101" t="str">
        <f>IFERROR(MIN('MP Calculations'!$E$29/I134,1),"-")</f>
        <v>-</v>
      </c>
      <c r="K134" s="37"/>
      <c r="L134" s="26"/>
      <c r="M134" s="26"/>
      <c r="N134" s="26"/>
      <c r="O134" s="95" t="str">
        <f t="shared" si="4"/>
        <v>-</v>
      </c>
      <c r="P134" s="97" t="str">
        <f t="shared" si="7"/>
        <v>-</v>
      </c>
    </row>
    <row r="135" spans="3:16">
      <c r="C135" s="26"/>
      <c r="D135" s="115"/>
      <c r="E135" s="34"/>
      <c r="F135" s="108" t="str">
        <f t="shared" si="6"/>
        <v>-</v>
      </c>
      <c r="G135" s="199"/>
      <c r="H135" s="118"/>
      <c r="I135" s="26"/>
      <c r="J135" s="101" t="str">
        <f>IFERROR(MIN('MP Calculations'!$E$29/I135,1),"-")</f>
        <v>-</v>
      </c>
      <c r="K135" s="37"/>
      <c r="L135" s="26"/>
      <c r="M135" s="26"/>
      <c r="N135" s="26"/>
      <c r="O135" s="95" t="str">
        <f t="shared" si="4"/>
        <v>-</v>
      </c>
      <c r="P135" s="97" t="str">
        <f t="shared" si="7"/>
        <v>-</v>
      </c>
    </row>
    <row r="136" spans="3:16">
      <c r="C136" s="26"/>
      <c r="D136" s="115"/>
      <c r="E136" s="34"/>
      <c r="F136" s="108" t="str">
        <f t="shared" si="6"/>
        <v>-</v>
      </c>
      <c r="G136" s="199"/>
      <c r="H136" s="118"/>
      <c r="I136" s="26"/>
      <c r="J136" s="101" t="str">
        <f>IFERROR(MIN('MP Calculations'!$E$29/I136,1),"-")</f>
        <v>-</v>
      </c>
      <c r="K136" s="37"/>
      <c r="L136" s="26"/>
      <c r="M136" s="26"/>
      <c r="N136" s="26"/>
      <c r="O136" s="95" t="str">
        <f t="shared" si="4"/>
        <v>-</v>
      </c>
      <c r="P136" s="97" t="str">
        <f t="shared" si="7"/>
        <v>-</v>
      </c>
    </row>
    <row r="137" spans="3:16">
      <c r="C137" s="26"/>
      <c r="D137" s="115"/>
      <c r="E137" s="34"/>
      <c r="F137" s="108" t="str">
        <f t="shared" si="6"/>
        <v>-</v>
      </c>
      <c r="G137" s="199"/>
      <c r="H137" s="118"/>
      <c r="I137" s="26"/>
      <c r="J137" s="101" t="str">
        <f>IFERROR(MIN('MP Calculations'!$E$29/I137,1),"-")</f>
        <v>-</v>
      </c>
      <c r="K137" s="37"/>
      <c r="L137" s="26"/>
      <c r="M137" s="26"/>
      <c r="N137" s="26"/>
      <c r="O137" s="95" t="str">
        <f t="shared" si="4"/>
        <v>-</v>
      </c>
      <c r="P137" s="97" t="str">
        <f t="shared" si="7"/>
        <v>-</v>
      </c>
    </row>
    <row r="138" spans="3:16">
      <c r="C138" s="26"/>
      <c r="D138" s="115"/>
      <c r="E138" s="34"/>
      <c r="F138" s="108" t="str">
        <f t="shared" si="6"/>
        <v>-</v>
      </c>
      <c r="G138" s="199"/>
      <c r="H138" s="118"/>
      <c r="I138" s="26"/>
      <c r="J138" s="101" t="str">
        <f>IFERROR(MIN('MP Calculations'!$E$29/I138,1),"-")</f>
        <v>-</v>
      </c>
      <c r="K138" s="37"/>
      <c r="L138" s="26"/>
      <c r="M138" s="26"/>
      <c r="N138" s="26"/>
      <c r="O138" s="95" t="str">
        <f t="shared" si="4"/>
        <v>-</v>
      </c>
      <c r="P138" s="97" t="str">
        <f t="shared" si="7"/>
        <v>-</v>
      </c>
    </row>
    <row r="139" spans="3:16">
      <c r="C139" s="26"/>
      <c r="D139" s="115"/>
      <c r="E139" s="34"/>
      <c r="F139" s="108" t="str">
        <f t="shared" si="6"/>
        <v>-</v>
      </c>
      <c r="G139" s="199"/>
      <c r="H139" s="118"/>
      <c r="I139" s="26"/>
      <c r="J139" s="101" t="str">
        <f>IFERROR(MIN('MP Calculations'!$E$29/I139,1),"-")</f>
        <v>-</v>
      </c>
      <c r="K139" s="37"/>
      <c r="L139" s="26"/>
      <c r="M139" s="26"/>
      <c r="N139" s="26"/>
      <c r="O139" s="95" t="str">
        <f t="shared" si="4"/>
        <v>-</v>
      </c>
      <c r="P139" s="97" t="str">
        <f t="shared" si="7"/>
        <v>-</v>
      </c>
    </row>
    <row r="140" spans="3:16">
      <c r="C140" s="26"/>
      <c r="D140" s="115"/>
      <c r="E140" s="34"/>
      <c r="F140" s="108" t="str">
        <f t="shared" si="6"/>
        <v>-</v>
      </c>
      <c r="G140" s="199"/>
      <c r="H140" s="118"/>
      <c r="I140" s="26"/>
      <c r="J140" s="101" t="str">
        <f>IFERROR(MIN('MP Calculations'!$E$29/I140,1),"-")</f>
        <v>-</v>
      </c>
      <c r="K140" s="37"/>
      <c r="L140" s="26"/>
      <c r="M140" s="26"/>
      <c r="N140" s="26"/>
      <c r="O140" s="95" t="str">
        <f t="shared" si="4"/>
        <v>-</v>
      </c>
      <c r="P140" s="97" t="str">
        <f t="shared" si="7"/>
        <v>-</v>
      </c>
    </row>
    <row r="141" spans="3:16">
      <c r="C141" s="26"/>
      <c r="D141" s="115"/>
      <c r="E141" s="34"/>
      <c r="F141" s="108" t="str">
        <f t="shared" si="6"/>
        <v>-</v>
      </c>
      <c r="G141" s="199"/>
      <c r="H141" s="118"/>
      <c r="I141" s="26"/>
      <c r="J141" s="101" t="str">
        <f>IFERROR(MIN('MP Calculations'!$E$29/I141,1),"-")</f>
        <v>-</v>
      </c>
      <c r="K141" s="37"/>
      <c r="L141" s="26"/>
      <c r="M141" s="26"/>
      <c r="N141" s="26"/>
      <c r="O141" s="95" t="str">
        <f t="shared" si="4"/>
        <v>-</v>
      </c>
      <c r="P141" s="97" t="str">
        <f t="shared" si="7"/>
        <v>-</v>
      </c>
    </row>
    <row r="142" spans="3:16">
      <c r="C142" s="26"/>
      <c r="D142" s="115"/>
      <c r="E142" s="34"/>
      <c r="F142" s="108" t="str">
        <f t="shared" si="6"/>
        <v>-</v>
      </c>
      <c r="G142" s="199"/>
      <c r="H142" s="118"/>
      <c r="I142" s="26"/>
      <c r="J142" s="101" t="str">
        <f>IFERROR(MIN('MP Calculations'!$E$29/I142,1),"-")</f>
        <v>-</v>
      </c>
      <c r="K142" s="37"/>
      <c r="L142" s="26"/>
      <c r="M142" s="26"/>
      <c r="N142" s="26"/>
      <c r="O142" s="95" t="str">
        <f t="shared" si="4"/>
        <v>-</v>
      </c>
      <c r="P142" s="97" t="str">
        <f t="shared" si="7"/>
        <v>-</v>
      </c>
    </row>
    <row r="143" spans="3:16">
      <c r="C143" s="26"/>
      <c r="D143" s="115"/>
      <c r="E143" s="34"/>
      <c r="F143" s="108" t="str">
        <f t="shared" si="6"/>
        <v>-</v>
      </c>
      <c r="G143" s="199"/>
      <c r="H143" s="118"/>
      <c r="I143" s="26"/>
      <c r="J143" s="101" t="str">
        <f>IFERROR(MIN('MP Calculations'!$E$29/I143,1),"-")</f>
        <v>-</v>
      </c>
      <c r="K143" s="37"/>
      <c r="L143" s="26"/>
      <c r="M143" s="26"/>
      <c r="N143" s="26"/>
      <c r="O143" s="95" t="str">
        <f t="shared" si="4"/>
        <v>-</v>
      </c>
      <c r="P143" s="97" t="str">
        <f t="shared" si="7"/>
        <v>-</v>
      </c>
    </row>
    <row r="144" spans="3:16">
      <c r="C144" s="26"/>
      <c r="D144" s="115"/>
      <c r="E144" s="34"/>
      <c r="F144" s="108" t="str">
        <f t="shared" si="6"/>
        <v>-</v>
      </c>
      <c r="G144" s="199"/>
      <c r="H144" s="118"/>
      <c r="I144" s="26"/>
      <c r="J144" s="101" t="str">
        <f>IFERROR(MIN('MP Calculations'!$E$29/I144,1),"-")</f>
        <v>-</v>
      </c>
      <c r="K144" s="37"/>
      <c r="L144" s="26"/>
      <c r="M144" s="26"/>
      <c r="N144" s="26"/>
      <c r="O144" s="95" t="str">
        <f t="shared" si="4"/>
        <v>-</v>
      </c>
      <c r="P144" s="97" t="str">
        <f t="shared" si="7"/>
        <v>-</v>
      </c>
    </row>
    <row r="145" spans="3:16">
      <c r="C145" s="26"/>
      <c r="D145" s="115"/>
      <c r="E145" s="34"/>
      <c r="F145" s="108" t="str">
        <f t="shared" si="6"/>
        <v>-</v>
      </c>
      <c r="G145" s="199"/>
      <c r="H145" s="118"/>
      <c r="I145" s="26"/>
      <c r="J145" s="101" t="str">
        <f>IFERROR(MIN('MP Calculations'!$E$29/I145,1),"-")</f>
        <v>-</v>
      </c>
      <c r="K145" s="37"/>
      <c r="L145" s="26"/>
      <c r="M145" s="26"/>
      <c r="N145" s="26"/>
      <c r="O145" s="95" t="str">
        <f t="shared" si="4"/>
        <v>-</v>
      </c>
      <c r="P145" s="97" t="str">
        <f t="shared" si="7"/>
        <v>-</v>
      </c>
    </row>
    <row r="146" spans="3:16">
      <c r="C146" s="26"/>
      <c r="D146" s="115"/>
      <c r="E146" s="34"/>
      <c r="F146" s="108" t="str">
        <f t="shared" si="6"/>
        <v>-</v>
      </c>
      <c r="G146" s="199"/>
      <c r="H146" s="118"/>
      <c r="I146" s="26"/>
      <c r="J146" s="101" t="str">
        <f>IFERROR(MIN('MP Calculations'!$E$29/I146,1),"-")</f>
        <v>-</v>
      </c>
      <c r="K146" s="37"/>
      <c r="L146" s="26"/>
      <c r="M146" s="26"/>
      <c r="N146" s="26"/>
      <c r="O146" s="95" t="str">
        <f t="shared" si="4"/>
        <v>-</v>
      </c>
      <c r="P146" s="97" t="str">
        <f t="shared" si="7"/>
        <v>-</v>
      </c>
    </row>
    <row r="147" spans="3:16">
      <c r="C147" s="26"/>
      <c r="D147" s="115"/>
      <c r="E147" s="34"/>
      <c r="F147" s="108" t="str">
        <f t="shared" si="6"/>
        <v>-</v>
      </c>
      <c r="G147" s="199"/>
      <c r="H147" s="118"/>
      <c r="I147" s="26"/>
      <c r="J147" s="101" t="str">
        <f>IFERROR(MIN('MP Calculations'!$E$29/I147,1),"-")</f>
        <v>-</v>
      </c>
      <c r="K147" s="37"/>
      <c r="L147" s="26"/>
      <c r="M147" s="26"/>
      <c r="N147" s="26"/>
      <c r="O147" s="95" t="str">
        <f t="shared" si="4"/>
        <v>-</v>
      </c>
      <c r="P147" s="97" t="str">
        <f t="shared" si="7"/>
        <v>-</v>
      </c>
    </row>
    <row r="148" spans="3:16">
      <c r="C148" s="26"/>
      <c r="D148" s="115"/>
      <c r="E148" s="34"/>
      <c r="F148" s="108" t="str">
        <f t="shared" si="6"/>
        <v>-</v>
      </c>
      <c r="G148" s="199"/>
      <c r="H148" s="118"/>
      <c r="I148" s="26"/>
      <c r="J148" s="101" t="str">
        <f>IFERROR(MIN('MP Calculations'!$E$29/I148,1),"-")</f>
        <v>-</v>
      </c>
      <c r="K148" s="37"/>
      <c r="L148" s="26"/>
      <c r="M148" s="26"/>
      <c r="N148" s="26"/>
      <c r="O148" s="95" t="str">
        <f t="shared" si="4"/>
        <v>-</v>
      </c>
      <c r="P148" s="97" t="str">
        <f t="shared" si="7"/>
        <v>-</v>
      </c>
    </row>
    <row r="149" spans="3:16">
      <c r="C149" s="26"/>
      <c r="D149" s="115"/>
      <c r="E149" s="34"/>
      <c r="F149" s="108" t="str">
        <f t="shared" si="6"/>
        <v>-</v>
      </c>
      <c r="G149" s="199"/>
      <c r="H149" s="118"/>
      <c r="I149" s="26"/>
      <c r="J149" s="101" t="str">
        <f>IFERROR(MIN('MP Calculations'!$E$29/I149,1),"-")</f>
        <v>-</v>
      </c>
      <c r="K149" s="37"/>
      <c r="L149" s="26"/>
      <c r="M149" s="26"/>
      <c r="N149" s="26"/>
      <c r="O149" s="95" t="str">
        <f t="shared" si="4"/>
        <v>-</v>
      </c>
      <c r="P149" s="97" t="str">
        <f t="shared" si="7"/>
        <v>-</v>
      </c>
    </row>
    <row r="150" spans="3:16">
      <c r="C150" s="26"/>
      <c r="D150" s="115"/>
      <c r="E150" s="34"/>
      <c r="F150" s="108" t="str">
        <f t="shared" si="6"/>
        <v>-</v>
      </c>
      <c r="G150" s="199"/>
      <c r="H150" s="118"/>
      <c r="I150" s="26"/>
      <c r="J150" s="101" t="str">
        <f>IFERROR(MIN('MP Calculations'!$E$29/I150,1),"-")</f>
        <v>-</v>
      </c>
      <c r="K150" s="37"/>
      <c r="L150" s="26"/>
      <c r="M150" s="26"/>
      <c r="N150" s="26"/>
      <c r="O150" s="95" t="str">
        <f t="shared" si="4"/>
        <v>-</v>
      </c>
      <c r="P150" s="97" t="str">
        <f t="shared" si="7"/>
        <v>-</v>
      </c>
    </row>
    <row r="151" spans="3:16">
      <c r="C151" s="26"/>
      <c r="D151" s="115"/>
      <c r="E151" s="34"/>
      <c r="F151" s="108" t="str">
        <f t="shared" si="6"/>
        <v>-</v>
      </c>
      <c r="G151" s="199"/>
      <c r="H151" s="118"/>
      <c r="I151" s="26"/>
      <c r="J151" s="101" t="str">
        <f>IFERROR(MIN('MP Calculations'!$E$29/I151,1),"-")</f>
        <v>-</v>
      </c>
      <c r="K151" s="37"/>
      <c r="L151" s="26"/>
      <c r="M151" s="26"/>
      <c r="N151" s="26"/>
      <c r="O151" s="95" t="str">
        <f t="shared" ref="O151:O214" si="8">IF(N151="","-",L151*N151)</f>
        <v>-</v>
      </c>
      <c r="P151" s="97" t="str">
        <f t="shared" si="7"/>
        <v>-</v>
      </c>
    </row>
    <row r="152" spans="3:16">
      <c r="C152" s="26"/>
      <c r="D152" s="115"/>
      <c r="E152" s="34"/>
      <c r="F152" s="108" t="str">
        <f t="shared" si="6"/>
        <v>-</v>
      </c>
      <c r="G152" s="199"/>
      <c r="H152" s="118"/>
      <c r="I152" s="26"/>
      <c r="J152" s="101" t="str">
        <f>IFERROR(MIN('MP Calculations'!$E$29/I152,1),"-")</f>
        <v>-</v>
      </c>
      <c r="K152" s="37"/>
      <c r="L152" s="26"/>
      <c r="M152" s="26"/>
      <c r="N152" s="26"/>
      <c r="O152" s="95" t="str">
        <f t="shared" si="8"/>
        <v>-</v>
      </c>
      <c r="P152" s="97" t="str">
        <f t="shared" si="7"/>
        <v>-</v>
      </c>
    </row>
    <row r="153" spans="3:16">
      <c r="C153" s="26"/>
      <c r="D153" s="115"/>
      <c r="E153" s="34"/>
      <c r="F153" s="108" t="str">
        <f t="shared" si="6"/>
        <v>-</v>
      </c>
      <c r="G153" s="199"/>
      <c r="H153" s="118"/>
      <c r="I153" s="26"/>
      <c r="J153" s="101" t="str">
        <f>IFERROR(MIN('MP Calculations'!$E$29/I153,1),"-")</f>
        <v>-</v>
      </c>
      <c r="K153" s="37"/>
      <c r="L153" s="26"/>
      <c r="M153" s="26"/>
      <c r="N153" s="26"/>
      <c r="O153" s="95" t="str">
        <f t="shared" si="8"/>
        <v>-</v>
      </c>
      <c r="P153" s="97" t="str">
        <f t="shared" si="7"/>
        <v>-</v>
      </c>
    </row>
    <row r="154" spans="3:16">
      <c r="C154" s="26"/>
      <c r="D154" s="115"/>
      <c r="E154" s="34"/>
      <c r="F154" s="108" t="str">
        <f t="shared" si="6"/>
        <v>-</v>
      </c>
      <c r="G154" s="199"/>
      <c r="H154" s="118"/>
      <c r="I154" s="26"/>
      <c r="J154" s="101" t="str">
        <f>IFERROR(MIN('MP Calculations'!$E$29/I154,1),"-")</f>
        <v>-</v>
      </c>
      <c r="K154" s="37"/>
      <c r="L154" s="26"/>
      <c r="M154" s="26"/>
      <c r="N154" s="26"/>
      <c r="O154" s="95" t="str">
        <f t="shared" si="8"/>
        <v>-</v>
      </c>
      <c r="P154" s="97" t="str">
        <f t="shared" si="7"/>
        <v>-</v>
      </c>
    </row>
    <row r="155" spans="3:16">
      <c r="C155" s="26"/>
      <c r="D155" s="115"/>
      <c r="E155" s="34"/>
      <c r="F155" s="108" t="str">
        <f t="shared" si="6"/>
        <v>-</v>
      </c>
      <c r="G155" s="199"/>
      <c r="H155" s="118"/>
      <c r="I155" s="26"/>
      <c r="J155" s="101" t="str">
        <f>IFERROR(MIN('MP Calculations'!$E$29/I155,1),"-")</f>
        <v>-</v>
      </c>
      <c r="K155" s="37"/>
      <c r="L155" s="26"/>
      <c r="M155" s="26"/>
      <c r="N155" s="26"/>
      <c r="O155" s="95" t="str">
        <f t="shared" si="8"/>
        <v>-</v>
      </c>
      <c r="P155" s="97" t="str">
        <f t="shared" si="7"/>
        <v>-</v>
      </c>
    </row>
    <row r="156" spans="3:16">
      <c r="C156" s="26"/>
      <c r="D156" s="115"/>
      <c r="E156" s="34"/>
      <c r="F156" s="108" t="str">
        <f t="shared" si="6"/>
        <v>-</v>
      </c>
      <c r="G156" s="199"/>
      <c r="H156" s="118"/>
      <c r="I156" s="26"/>
      <c r="J156" s="101" t="str">
        <f>IFERROR(MIN('MP Calculations'!$E$29/I156,1),"-")</f>
        <v>-</v>
      </c>
      <c r="K156" s="37"/>
      <c r="L156" s="26"/>
      <c r="M156" s="26"/>
      <c r="N156" s="26"/>
      <c r="O156" s="95" t="str">
        <f t="shared" si="8"/>
        <v>-</v>
      </c>
      <c r="P156" s="97" t="str">
        <f t="shared" si="7"/>
        <v>-</v>
      </c>
    </row>
    <row r="157" spans="3:16">
      <c r="C157" s="26"/>
      <c r="D157" s="115"/>
      <c r="E157" s="34"/>
      <c r="F157" s="108" t="str">
        <f t="shared" si="6"/>
        <v>-</v>
      </c>
      <c r="G157" s="199"/>
      <c r="H157" s="118"/>
      <c r="I157" s="26"/>
      <c r="J157" s="101" t="str">
        <f>IFERROR(MIN('MP Calculations'!$E$29/I157,1),"-")</f>
        <v>-</v>
      </c>
      <c r="K157" s="37"/>
      <c r="L157" s="26"/>
      <c r="M157" s="26"/>
      <c r="N157" s="26"/>
      <c r="O157" s="95" t="str">
        <f t="shared" si="8"/>
        <v>-</v>
      </c>
      <c r="P157" s="97" t="str">
        <f t="shared" si="7"/>
        <v>-</v>
      </c>
    </row>
    <row r="158" spans="3:16">
      <c r="C158" s="26"/>
      <c r="D158" s="115"/>
      <c r="E158" s="34"/>
      <c r="F158" s="108" t="str">
        <f t="shared" si="6"/>
        <v>-</v>
      </c>
      <c r="G158" s="199"/>
      <c r="H158" s="118"/>
      <c r="I158" s="26"/>
      <c r="J158" s="101" t="str">
        <f>IFERROR(MIN('MP Calculations'!$E$29/I158,1),"-")</f>
        <v>-</v>
      </c>
      <c r="K158" s="37"/>
      <c r="L158" s="26"/>
      <c r="M158" s="26"/>
      <c r="N158" s="26"/>
      <c r="O158" s="95" t="str">
        <f t="shared" si="8"/>
        <v>-</v>
      </c>
      <c r="P158" s="97" t="str">
        <f t="shared" si="7"/>
        <v>-</v>
      </c>
    </row>
    <row r="159" spans="3:16">
      <c r="C159" s="26"/>
      <c r="D159" s="115"/>
      <c r="E159" s="34"/>
      <c r="F159" s="108" t="str">
        <f t="shared" si="6"/>
        <v>-</v>
      </c>
      <c r="G159" s="199"/>
      <c r="H159" s="118"/>
      <c r="I159" s="26"/>
      <c r="J159" s="101" t="str">
        <f>IFERROR(MIN('MP Calculations'!$E$29/I159,1),"-")</f>
        <v>-</v>
      </c>
      <c r="K159" s="37"/>
      <c r="L159" s="26"/>
      <c r="M159" s="26"/>
      <c r="N159" s="26"/>
      <c r="O159" s="95" t="str">
        <f t="shared" si="8"/>
        <v>-</v>
      </c>
      <c r="P159" s="97" t="str">
        <f t="shared" si="7"/>
        <v>-</v>
      </c>
    </row>
    <row r="160" spans="3:16">
      <c r="C160" s="26"/>
      <c r="D160" s="115"/>
      <c r="E160" s="34"/>
      <c r="F160" s="108" t="str">
        <f t="shared" si="6"/>
        <v>-</v>
      </c>
      <c r="G160" s="199"/>
      <c r="H160" s="118"/>
      <c r="I160" s="26"/>
      <c r="J160" s="101" t="str">
        <f>IFERROR(MIN('MP Calculations'!$E$29/I160,1),"-")</f>
        <v>-</v>
      </c>
      <c r="K160" s="37"/>
      <c r="L160" s="26"/>
      <c r="M160" s="26"/>
      <c r="N160" s="26"/>
      <c r="O160" s="95" t="str">
        <f t="shared" si="8"/>
        <v>-</v>
      </c>
      <c r="P160" s="97" t="str">
        <f t="shared" si="7"/>
        <v>-</v>
      </c>
    </row>
    <row r="161" spans="3:16">
      <c r="C161" s="26"/>
      <c r="D161" s="115"/>
      <c r="E161" s="34"/>
      <c r="F161" s="108" t="str">
        <f t="shared" si="6"/>
        <v>-</v>
      </c>
      <c r="G161" s="199"/>
      <c r="H161" s="118"/>
      <c r="I161" s="26"/>
      <c r="J161" s="101" t="str">
        <f>IFERROR(MIN('MP Calculations'!$E$29/I161,1),"-")</f>
        <v>-</v>
      </c>
      <c r="K161" s="37"/>
      <c r="L161" s="26"/>
      <c r="M161" s="26"/>
      <c r="N161" s="26"/>
      <c r="O161" s="95" t="str">
        <f t="shared" si="8"/>
        <v>-</v>
      </c>
      <c r="P161" s="97" t="str">
        <f t="shared" si="7"/>
        <v>-</v>
      </c>
    </row>
    <row r="162" spans="3:16">
      <c r="C162" s="26"/>
      <c r="D162" s="115"/>
      <c r="E162" s="34"/>
      <c r="F162" s="108" t="str">
        <f t="shared" si="6"/>
        <v>-</v>
      </c>
      <c r="G162" s="199"/>
      <c r="H162" s="118"/>
      <c r="I162" s="26"/>
      <c r="J162" s="101" t="str">
        <f>IFERROR(MIN('MP Calculations'!$E$29/I162,1),"-")</f>
        <v>-</v>
      </c>
      <c r="K162" s="37"/>
      <c r="L162" s="26"/>
      <c r="M162" s="26"/>
      <c r="N162" s="26"/>
      <c r="O162" s="95" t="str">
        <f t="shared" si="8"/>
        <v>-</v>
      </c>
      <c r="P162" s="97" t="str">
        <f t="shared" si="7"/>
        <v>-</v>
      </c>
    </row>
    <row r="163" spans="3:16">
      <c r="C163" s="26"/>
      <c r="D163" s="115"/>
      <c r="E163" s="34"/>
      <c r="F163" s="108" t="str">
        <f t="shared" si="6"/>
        <v>-</v>
      </c>
      <c r="G163" s="199"/>
      <c r="H163" s="118"/>
      <c r="I163" s="26"/>
      <c r="J163" s="101" t="str">
        <f>IFERROR(MIN('MP Calculations'!$E$29/I163,1),"-")</f>
        <v>-</v>
      </c>
      <c r="K163" s="37"/>
      <c r="L163" s="26"/>
      <c r="M163" s="26"/>
      <c r="N163" s="26"/>
      <c r="O163" s="95" t="str">
        <f t="shared" si="8"/>
        <v>-</v>
      </c>
      <c r="P163" s="97" t="str">
        <f t="shared" si="7"/>
        <v>-</v>
      </c>
    </row>
    <row r="164" spans="3:16">
      <c r="C164" s="26"/>
      <c r="D164" s="115"/>
      <c r="E164" s="34"/>
      <c r="F164" s="108" t="str">
        <f t="shared" si="6"/>
        <v>-</v>
      </c>
      <c r="G164" s="199"/>
      <c r="H164" s="118"/>
      <c r="I164" s="26"/>
      <c r="J164" s="101" t="str">
        <f>IFERROR(MIN('MP Calculations'!$E$29/I164,1),"-")</f>
        <v>-</v>
      </c>
      <c r="K164" s="37"/>
      <c r="L164" s="26"/>
      <c r="M164" s="26"/>
      <c r="N164" s="26"/>
      <c r="O164" s="95" t="str">
        <f t="shared" si="8"/>
        <v>-</v>
      </c>
      <c r="P164" s="97" t="str">
        <f t="shared" si="7"/>
        <v>-</v>
      </c>
    </row>
    <row r="165" spans="3:16">
      <c r="C165" s="26"/>
      <c r="D165" s="115"/>
      <c r="E165" s="34"/>
      <c r="F165" s="108" t="str">
        <f t="shared" si="6"/>
        <v>-</v>
      </c>
      <c r="G165" s="199"/>
      <c r="H165" s="118"/>
      <c r="I165" s="26"/>
      <c r="J165" s="101" t="str">
        <f>IFERROR(MIN('MP Calculations'!$E$29/I165,1),"-")</f>
        <v>-</v>
      </c>
      <c r="K165" s="37"/>
      <c r="L165" s="26"/>
      <c r="M165" s="26"/>
      <c r="N165" s="26"/>
      <c r="O165" s="95" t="str">
        <f t="shared" si="8"/>
        <v>-</v>
      </c>
      <c r="P165" s="97" t="str">
        <f t="shared" si="7"/>
        <v>-</v>
      </c>
    </row>
    <row r="166" spans="3:16">
      <c r="C166" s="26"/>
      <c r="D166" s="115"/>
      <c r="E166" s="34"/>
      <c r="F166" s="108" t="str">
        <f t="shared" si="6"/>
        <v>-</v>
      </c>
      <c r="G166" s="199"/>
      <c r="H166" s="118"/>
      <c r="I166" s="26"/>
      <c r="J166" s="101" t="str">
        <f>IFERROR(MIN('MP Calculations'!$E$29/I166,1),"-")</f>
        <v>-</v>
      </c>
      <c r="K166" s="37"/>
      <c r="L166" s="26"/>
      <c r="M166" s="26"/>
      <c r="N166" s="26"/>
      <c r="O166" s="95" t="str">
        <f t="shared" si="8"/>
        <v>-</v>
      </c>
      <c r="P166" s="97" t="str">
        <f t="shared" si="7"/>
        <v>-</v>
      </c>
    </row>
    <row r="167" spans="3:16">
      <c r="C167" s="26"/>
      <c r="D167" s="115"/>
      <c r="E167" s="34"/>
      <c r="F167" s="108" t="str">
        <f t="shared" si="6"/>
        <v>-</v>
      </c>
      <c r="G167" s="199"/>
      <c r="H167" s="118"/>
      <c r="I167" s="26"/>
      <c r="J167" s="101" t="str">
        <f>IFERROR(MIN('MP Calculations'!$E$29/I167,1),"-")</f>
        <v>-</v>
      </c>
      <c r="K167" s="37"/>
      <c r="L167" s="26"/>
      <c r="M167" s="26"/>
      <c r="N167" s="26"/>
      <c r="O167" s="95" t="str">
        <f t="shared" si="8"/>
        <v>-</v>
      </c>
      <c r="P167" s="97" t="str">
        <f t="shared" si="7"/>
        <v>-</v>
      </c>
    </row>
    <row r="168" spans="3:16">
      <c r="C168" s="26"/>
      <c r="D168" s="115"/>
      <c r="E168" s="34"/>
      <c r="F168" s="108" t="str">
        <f t="shared" si="6"/>
        <v>-</v>
      </c>
      <c r="G168" s="199"/>
      <c r="H168" s="118"/>
      <c r="I168" s="26"/>
      <c r="J168" s="101" t="str">
        <f>IFERROR(MIN('MP Calculations'!$E$29/I168,1),"-")</f>
        <v>-</v>
      </c>
      <c r="K168" s="37"/>
      <c r="L168" s="26"/>
      <c r="M168" s="26"/>
      <c r="N168" s="26"/>
      <c r="O168" s="95" t="str">
        <f t="shared" si="8"/>
        <v>-</v>
      </c>
      <c r="P168" s="97" t="str">
        <f t="shared" si="7"/>
        <v>-</v>
      </c>
    </row>
    <row r="169" spans="3:16">
      <c r="C169" s="26"/>
      <c r="D169" s="115"/>
      <c r="E169" s="34"/>
      <c r="F169" s="108" t="str">
        <f t="shared" si="6"/>
        <v>-</v>
      </c>
      <c r="G169" s="199"/>
      <c r="H169" s="118"/>
      <c r="I169" s="26"/>
      <c r="J169" s="101" t="str">
        <f>IFERROR(MIN('MP Calculations'!$E$29/I169,1),"-")</f>
        <v>-</v>
      </c>
      <c r="K169" s="37"/>
      <c r="L169" s="26"/>
      <c r="M169" s="26"/>
      <c r="N169" s="26"/>
      <c r="O169" s="95" t="str">
        <f t="shared" si="8"/>
        <v>-</v>
      </c>
      <c r="P169" s="97" t="str">
        <f t="shared" si="7"/>
        <v>-</v>
      </c>
    </row>
    <row r="170" spans="3:16">
      <c r="C170" s="26"/>
      <c r="D170" s="115"/>
      <c r="E170" s="34"/>
      <c r="F170" s="108" t="str">
        <f t="shared" si="6"/>
        <v>-</v>
      </c>
      <c r="G170" s="199"/>
      <c r="H170" s="118"/>
      <c r="I170" s="26"/>
      <c r="J170" s="101" t="str">
        <f>IFERROR(MIN('MP Calculations'!$E$29/I170,1),"-")</f>
        <v>-</v>
      </c>
      <c r="K170" s="37"/>
      <c r="L170" s="26"/>
      <c r="M170" s="26"/>
      <c r="N170" s="26"/>
      <c r="O170" s="95" t="str">
        <f t="shared" si="8"/>
        <v>-</v>
      </c>
      <c r="P170" s="97" t="str">
        <f t="shared" si="7"/>
        <v>-</v>
      </c>
    </row>
    <row r="171" spans="3:16">
      <c r="C171" s="26"/>
      <c r="D171" s="115"/>
      <c r="E171" s="34"/>
      <c r="F171" s="108" t="str">
        <f t="shared" si="6"/>
        <v>-</v>
      </c>
      <c r="G171" s="199"/>
      <c r="H171" s="118"/>
      <c r="I171" s="26"/>
      <c r="J171" s="101" t="str">
        <f>IFERROR(MIN('MP Calculations'!$E$29/I171,1),"-")</f>
        <v>-</v>
      </c>
      <c r="K171" s="37"/>
      <c r="L171" s="26"/>
      <c r="M171" s="26"/>
      <c r="N171" s="26"/>
      <c r="O171" s="95" t="str">
        <f t="shared" si="8"/>
        <v>-</v>
      </c>
      <c r="P171" s="97" t="str">
        <f t="shared" si="7"/>
        <v>-</v>
      </c>
    </row>
    <row r="172" spans="3:16">
      <c r="C172" s="26"/>
      <c r="D172" s="115"/>
      <c r="E172" s="34"/>
      <c r="F172" s="108" t="str">
        <f t="shared" si="6"/>
        <v>-</v>
      </c>
      <c r="G172" s="199"/>
      <c r="H172" s="118"/>
      <c r="I172" s="26"/>
      <c r="J172" s="101" t="str">
        <f>IFERROR(MIN('MP Calculations'!$E$29/I172,1),"-")</f>
        <v>-</v>
      </c>
      <c r="K172" s="37"/>
      <c r="L172" s="26"/>
      <c r="M172" s="26"/>
      <c r="N172" s="26"/>
      <c r="O172" s="95" t="str">
        <f t="shared" si="8"/>
        <v>-</v>
      </c>
      <c r="P172" s="97" t="str">
        <f t="shared" si="7"/>
        <v>-</v>
      </c>
    </row>
    <row r="173" spans="3:16">
      <c r="C173" s="26"/>
      <c r="D173" s="115"/>
      <c r="E173" s="34"/>
      <c r="F173" s="108" t="str">
        <f t="shared" si="6"/>
        <v>-</v>
      </c>
      <c r="G173" s="199"/>
      <c r="H173" s="118"/>
      <c r="I173" s="26"/>
      <c r="J173" s="101" t="str">
        <f>IFERROR(MIN('MP Calculations'!$E$29/I173,1),"-")</f>
        <v>-</v>
      </c>
      <c r="K173" s="37"/>
      <c r="L173" s="26"/>
      <c r="M173" s="26"/>
      <c r="N173" s="26"/>
      <c r="O173" s="95" t="str">
        <f t="shared" si="8"/>
        <v>-</v>
      </c>
      <c r="P173" s="97" t="str">
        <f t="shared" si="7"/>
        <v>-</v>
      </c>
    </row>
    <row r="174" spans="3:16">
      <c r="C174" s="26"/>
      <c r="D174" s="115"/>
      <c r="E174" s="34"/>
      <c r="F174" s="108" t="str">
        <f t="shared" si="6"/>
        <v>-</v>
      </c>
      <c r="G174" s="199"/>
      <c r="H174" s="118"/>
      <c r="I174" s="26"/>
      <c r="J174" s="101" t="str">
        <f>IFERROR(MIN('MP Calculations'!$E$29/I174,1),"-")</f>
        <v>-</v>
      </c>
      <c r="K174" s="37"/>
      <c r="L174" s="26"/>
      <c r="M174" s="26"/>
      <c r="N174" s="26"/>
      <c r="O174" s="95" t="str">
        <f t="shared" si="8"/>
        <v>-</v>
      </c>
      <c r="P174" s="97" t="str">
        <f t="shared" si="7"/>
        <v>-</v>
      </c>
    </row>
    <row r="175" spans="3:16">
      <c r="C175" s="26"/>
      <c r="D175" s="115"/>
      <c r="E175" s="34"/>
      <c r="F175" s="108" t="str">
        <f t="shared" si="6"/>
        <v>-</v>
      </c>
      <c r="G175" s="199"/>
      <c r="H175" s="118"/>
      <c r="I175" s="26"/>
      <c r="J175" s="101" t="str">
        <f>IFERROR(MIN('MP Calculations'!$E$29/I175,1),"-")</f>
        <v>-</v>
      </c>
      <c r="K175" s="37"/>
      <c r="L175" s="26"/>
      <c r="M175" s="26"/>
      <c r="N175" s="26"/>
      <c r="O175" s="95" t="str">
        <f t="shared" si="8"/>
        <v>-</v>
      </c>
      <c r="P175" s="97" t="str">
        <f t="shared" si="7"/>
        <v>-</v>
      </c>
    </row>
    <row r="176" spans="3:16">
      <c r="C176" s="26"/>
      <c r="D176" s="115"/>
      <c r="E176" s="34"/>
      <c r="F176" s="108" t="str">
        <f t="shared" si="6"/>
        <v>-</v>
      </c>
      <c r="G176" s="199"/>
      <c r="H176" s="118"/>
      <c r="I176" s="26"/>
      <c r="J176" s="101" t="str">
        <f>IFERROR(MIN('MP Calculations'!$E$29/I176,1),"-")</f>
        <v>-</v>
      </c>
      <c r="K176" s="37"/>
      <c r="L176" s="26"/>
      <c r="M176" s="26"/>
      <c r="N176" s="26"/>
      <c r="O176" s="95" t="str">
        <f t="shared" si="8"/>
        <v>-</v>
      </c>
      <c r="P176" s="97" t="str">
        <f t="shared" si="7"/>
        <v>-</v>
      </c>
    </row>
    <row r="177" spans="3:16">
      <c r="C177" s="26"/>
      <c r="D177" s="115"/>
      <c r="E177" s="34"/>
      <c r="F177" s="108" t="str">
        <f t="shared" si="6"/>
        <v>-</v>
      </c>
      <c r="G177" s="199"/>
      <c r="H177" s="118"/>
      <c r="I177" s="26"/>
      <c r="J177" s="101" t="str">
        <f>IFERROR(MIN('MP Calculations'!$E$29/I177,1),"-")</f>
        <v>-</v>
      </c>
      <c r="K177" s="37"/>
      <c r="L177" s="26"/>
      <c r="M177" s="26"/>
      <c r="N177" s="26"/>
      <c r="O177" s="95" t="str">
        <f t="shared" si="8"/>
        <v>-</v>
      </c>
      <c r="P177" s="97" t="str">
        <f t="shared" si="7"/>
        <v>-</v>
      </c>
    </row>
    <row r="178" spans="3:16">
      <c r="C178" s="26"/>
      <c r="D178" s="115"/>
      <c r="E178" s="34"/>
      <c r="F178" s="108" t="str">
        <f t="shared" si="6"/>
        <v>-</v>
      </c>
      <c r="G178" s="199"/>
      <c r="H178" s="118"/>
      <c r="I178" s="26"/>
      <c r="J178" s="101" t="str">
        <f>IFERROR(MIN('MP Calculations'!$E$29/I178,1),"-")</f>
        <v>-</v>
      </c>
      <c r="K178" s="37"/>
      <c r="L178" s="26"/>
      <c r="M178" s="26"/>
      <c r="N178" s="26"/>
      <c r="O178" s="95" t="str">
        <f t="shared" si="8"/>
        <v>-</v>
      </c>
      <c r="P178" s="97" t="str">
        <f t="shared" si="7"/>
        <v>-</v>
      </c>
    </row>
    <row r="179" spans="3:16">
      <c r="C179" s="26"/>
      <c r="D179" s="115"/>
      <c r="E179" s="34"/>
      <c r="F179" s="108" t="str">
        <f t="shared" si="6"/>
        <v>-</v>
      </c>
      <c r="G179" s="199"/>
      <c r="H179" s="118"/>
      <c r="I179" s="26"/>
      <c r="J179" s="101" t="str">
        <f>IFERROR(MIN('MP Calculations'!$E$29/I179,1),"-")</f>
        <v>-</v>
      </c>
      <c r="K179" s="37"/>
      <c r="L179" s="26"/>
      <c r="M179" s="26"/>
      <c r="N179" s="26"/>
      <c r="O179" s="95" t="str">
        <f t="shared" si="8"/>
        <v>-</v>
      </c>
      <c r="P179" s="97" t="str">
        <f t="shared" si="7"/>
        <v>-</v>
      </c>
    </row>
    <row r="180" spans="3:16">
      <c r="C180" s="26"/>
      <c r="D180" s="115"/>
      <c r="E180" s="34"/>
      <c r="F180" s="108" t="str">
        <f t="shared" si="6"/>
        <v>-</v>
      </c>
      <c r="G180" s="199"/>
      <c r="H180" s="118"/>
      <c r="I180" s="26"/>
      <c r="J180" s="101" t="str">
        <f>IFERROR(MIN('MP Calculations'!$E$29/I180,1),"-")</f>
        <v>-</v>
      </c>
      <c r="K180" s="37"/>
      <c r="L180" s="26"/>
      <c r="M180" s="26"/>
      <c r="N180" s="26"/>
      <c r="O180" s="95" t="str">
        <f t="shared" si="8"/>
        <v>-</v>
      </c>
      <c r="P180" s="97" t="str">
        <f t="shared" si="7"/>
        <v>-</v>
      </c>
    </row>
    <row r="181" spans="3:16">
      <c r="C181" s="26"/>
      <c r="D181" s="115"/>
      <c r="E181" s="34"/>
      <c r="F181" s="108" t="str">
        <f t="shared" si="6"/>
        <v>-</v>
      </c>
      <c r="G181" s="199"/>
      <c r="H181" s="118"/>
      <c r="I181" s="26"/>
      <c r="J181" s="101" t="str">
        <f>IFERROR(MIN('MP Calculations'!$E$29/I181,1),"-")</f>
        <v>-</v>
      </c>
      <c r="K181" s="37"/>
      <c r="L181" s="26"/>
      <c r="M181" s="26"/>
      <c r="N181" s="26"/>
      <c r="O181" s="95" t="str">
        <f t="shared" si="8"/>
        <v>-</v>
      </c>
      <c r="P181" s="97" t="str">
        <f t="shared" si="7"/>
        <v>-</v>
      </c>
    </row>
    <row r="182" spans="3:16">
      <c r="C182" s="26"/>
      <c r="D182" s="115"/>
      <c r="E182" s="34"/>
      <c r="F182" s="108" t="str">
        <f t="shared" si="6"/>
        <v>-</v>
      </c>
      <c r="G182" s="199"/>
      <c r="H182" s="118"/>
      <c r="I182" s="26"/>
      <c r="J182" s="101" t="str">
        <f>IFERROR(MIN('MP Calculations'!$E$29/I182,1),"-")</f>
        <v>-</v>
      </c>
      <c r="K182" s="37"/>
      <c r="L182" s="26"/>
      <c r="M182" s="26"/>
      <c r="N182" s="26"/>
      <c r="O182" s="95" t="str">
        <f t="shared" si="8"/>
        <v>-</v>
      </c>
      <c r="P182" s="97" t="str">
        <f t="shared" si="7"/>
        <v>-</v>
      </c>
    </row>
    <row r="183" spans="3:16">
      <c r="C183" s="26"/>
      <c r="D183" s="115"/>
      <c r="E183" s="34"/>
      <c r="F183" s="108" t="str">
        <f t="shared" si="6"/>
        <v>-</v>
      </c>
      <c r="G183" s="199"/>
      <c r="H183" s="118"/>
      <c r="I183" s="26"/>
      <c r="J183" s="101" t="str">
        <f>IFERROR(MIN('MP Calculations'!$E$29/I183,1),"-")</f>
        <v>-</v>
      </c>
      <c r="K183" s="37"/>
      <c r="L183" s="26"/>
      <c r="M183" s="26"/>
      <c r="N183" s="26"/>
      <c r="O183" s="95" t="str">
        <f t="shared" si="8"/>
        <v>-</v>
      </c>
      <c r="P183" s="97" t="str">
        <f t="shared" si="7"/>
        <v>-</v>
      </c>
    </row>
    <row r="184" spans="3:16">
      <c r="C184" s="26"/>
      <c r="D184" s="115"/>
      <c r="E184" s="34"/>
      <c r="F184" s="108" t="str">
        <f t="shared" ref="F184:F217" si="9">IF(E184="","-",IF(OR(E184&lt;$E$15,E184&gt;$E$16),"ERROR - date outside of range",IF(MONTH(E184)&gt;=7,YEAR(E184)&amp;"-"&amp;IF(YEAR(E184)=1999,"00",IF(AND(YEAR(E184)&gt;=2000,YEAR(E184)&lt;2009),"0","")&amp;RIGHT(YEAR(E184),2)+1),RIGHT(YEAR(E184),4)-1&amp;"-"&amp;RIGHT(YEAR(E184),2))))</f>
        <v>-</v>
      </c>
      <c r="G184" s="199"/>
      <c r="H184" s="118"/>
      <c r="I184" s="26"/>
      <c r="J184" s="101" t="str">
        <f>IFERROR(MIN('MP Calculations'!$E$29/I184,1),"-")</f>
        <v>-</v>
      </c>
      <c r="K184" s="37"/>
      <c r="L184" s="26"/>
      <c r="M184" s="26"/>
      <c r="N184" s="26"/>
      <c r="O184" s="95" t="str">
        <f t="shared" si="8"/>
        <v>-</v>
      </c>
      <c r="P184" s="97" t="str">
        <f t="shared" ref="P184:P217" si="10">IF(O184="-","-",IF(OR(E184&lt;$E$15,E184&gt;$E$16),0,O184*J184))</f>
        <v>-</v>
      </c>
    </row>
    <row r="185" spans="3:16">
      <c r="C185" s="26"/>
      <c r="D185" s="115"/>
      <c r="E185" s="34"/>
      <c r="F185" s="108" t="str">
        <f t="shared" si="9"/>
        <v>-</v>
      </c>
      <c r="G185" s="199"/>
      <c r="H185" s="118"/>
      <c r="I185" s="26"/>
      <c r="J185" s="101" t="str">
        <f>IFERROR(MIN('MP Calculations'!$E$29/I185,1),"-")</f>
        <v>-</v>
      </c>
      <c r="K185" s="37"/>
      <c r="L185" s="26"/>
      <c r="M185" s="26"/>
      <c r="N185" s="26"/>
      <c r="O185" s="95" t="str">
        <f t="shared" si="8"/>
        <v>-</v>
      </c>
      <c r="P185" s="97" t="str">
        <f t="shared" si="10"/>
        <v>-</v>
      </c>
    </row>
    <row r="186" spans="3:16">
      <c r="C186" s="26"/>
      <c r="D186" s="115"/>
      <c r="E186" s="34"/>
      <c r="F186" s="108" t="str">
        <f t="shared" si="9"/>
        <v>-</v>
      </c>
      <c r="G186" s="199"/>
      <c r="H186" s="118"/>
      <c r="I186" s="26"/>
      <c r="J186" s="101" t="str">
        <f>IFERROR(MIN('MP Calculations'!$E$29/I186,1),"-")</f>
        <v>-</v>
      </c>
      <c r="K186" s="37"/>
      <c r="L186" s="26"/>
      <c r="M186" s="26"/>
      <c r="N186" s="26"/>
      <c r="O186" s="95" t="str">
        <f t="shared" si="8"/>
        <v>-</v>
      </c>
      <c r="P186" s="97" t="str">
        <f t="shared" si="10"/>
        <v>-</v>
      </c>
    </row>
    <row r="187" spans="3:16">
      <c r="C187" s="26"/>
      <c r="D187" s="115"/>
      <c r="E187" s="34"/>
      <c r="F187" s="108" t="str">
        <f t="shared" si="9"/>
        <v>-</v>
      </c>
      <c r="G187" s="199"/>
      <c r="H187" s="118"/>
      <c r="I187" s="26"/>
      <c r="J187" s="101" t="str">
        <f>IFERROR(MIN('MP Calculations'!$E$29/I187,1),"-")</f>
        <v>-</v>
      </c>
      <c r="K187" s="37"/>
      <c r="L187" s="26"/>
      <c r="M187" s="26"/>
      <c r="N187" s="26"/>
      <c r="O187" s="95" t="str">
        <f t="shared" si="8"/>
        <v>-</v>
      </c>
      <c r="P187" s="97" t="str">
        <f t="shared" si="10"/>
        <v>-</v>
      </c>
    </row>
    <row r="188" spans="3:16">
      <c r="C188" s="26"/>
      <c r="D188" s="115"/>
      <c r="E188" s="34"/>
      <c r="F188" s="108" t="str">
        <f t="shared" si="9"/>
        <v>-</v>
      </c>
      <c r="G188" s="199"/>
      <c r="H188" s="118"/>
      <c r="I188" s="26"/>
      <c r="J188" s="101" t="str">
        <f>IFERROR(MIN('MP Calculations'!$E$29/I188,1),"-")</f>
        <v>-</v>
      </c>
      <c r="K188" s="37"/>
      <c r="L188" s="26"/>
      <c r="M188" s="26"/>
      <c r="N188" s="26"/>
      <c r="O188" s="95" t="str">
        <f t="shared" si="8"/>
        <v>-</v>
      </c>
      <c r="P188" s="97" t="str">
        <f t="shared" si="10"/>
        <v>-</v>
      </c>
    </row>
    <row r="189" spans="3:16">
      <c r="C189" s="26"/>
      <c r="D189" s="115"/>
      <c r="E189" s="34"/>
      <c r="F189" s="108" t="str">
        <f t="shared" si="9"/>
        <v>-</v>
      </c>
      <c r="G189" s="199"/>
      <c r="H189" s="118"/>
      <c r="I189" s="26"/>
      <c r="J189" s="101" t="str">
        <f>IFERROR(MIN('MP Calculations'!$E$29/I189,1),"-")</f>
        <v>-</v>
      </c>
      <c r="K189" s="37"/>
      <c r="L189" s="26"/>
      <c r="M189" s="26"/>
      <c r="N189" s="26"/>
      <c r="O189" s="95" t="str">
        <f t="shared" si="8"/>
        <v>-</v>
      </c>
      <c r="P189" s="97" t="str">
        <f t="shared" si="10"/>
        <v>-</v>
      </c>
    </row>
    <row r="190" spans="3:16">
      <c r="C190" s="26"/>
      <c r="D190" s="115"/>
      <c r="E190" s="34"/>
      <c r="F190" s="108" t="str">
        <f t="shared" si="9"/>
        <v>-</v>
      </c>
      <c r="G190" s="199"/>
      <c r="H190" s="118"/>
      <c r="I190" s="26"/>
      <c r="J190" s="101" t="str">
        <f>IFERROR(MIN('MP Calculations'!$E$29/I190,1),"-")</f>
        <v>-</v>
      </c>
      <c r="K190" s="37"/>
      <c r="L190" s="26"/>
      <c r="M190" s="26"/>
      <c r="N190" s="26"/>
      <c r="O190" s="95" t="str">
        <f t="shared" si="8"/>
        <v>-</v>
      </c>
      <c r="P190" s="97" t="str">
        <f t="shared" si="10"/>
        <v>-</v>
      </c>
    </row>
    <row r="191" spans="3:16">
      <c r="C191" s="26"/>
      <c r="D191" s="115"/>
      <c r="E191" s="34"/>
      <c r="F191" s="108" t="str">
        <f t="shared" si="9"/>
        <v>-</v>
      </c>
      <c r="G191" s="199"/>
      <c r="H191" s="118"/>
      <c r="I191" s="26"/>
      <c r="J191" s="101" t="str">
        <f>IFERROR(MIN('MP Calculations'!$E$29/I191,1),"-")</f>
        <v>-</v>
      </c>
      <c r="K191" s="37"/>
      <c r="L191" s="26"/>
      <c r="M191" s="26"/>
      <c r="N191" s="26"/>
      <c r="O191" s="95" t="str">
        <f t="shared" si="8"/>
        <v>-</v>
      </c>
      <c r="P191" s="97" t="str">
        <f t="shared" si="10"/>
        <v>-</v>
      </c>
    </row>
    <row r="192" spans="3:16">
      <c r="C192" s="26"/>
      <c r="D192" s="115"/>
      <c r="E192" s="34"/>
      <c r="F192" s="108" t="str">
        <f t="shared" si="9"/>
        <v>-</v>
      </c>
      <c r="G192" s="199"/>
      <c r="H192" s="118"/>
      <c r="I192" s="26"/>
      <c r="J192" s="101" t="str">
        <f>IFERROR(MIN('MP Calculations'!$E$29/I192,1),"-")</f>
        <v>-</v>
      </c>
      <c r="K192" s="37"/>
      <c r="L192" s="26"/>
      <c r="M192" s="26"/>
      <c r="N192" s="26"/>
      <c r="O192" s="95" t="str">
        <f t="shared" si="8"/>
        <v>-</v>
      </c>
      <c r="P192" s="97" t="str">
        <f t="shared" si="10"/>
        <v>-</v>
      </c>
    </row>
    <row r="193" spans="3:16">
      <c r="C193" s="26"/>
      <c r="D193" s="115"/>
      <c r="E193" s="34"/>
      <c r="F193" s="108" t="str">
        <f t="shared" si="9"/>
        <v>-</v>
      </c>
      <c r="G193" s="199"/>
      <c r="H193" s="118"/>
      <c r="I193" s="26"/>
      <c r="J193" s="101" t="str">
        <f>IFERROR(MIN('MP Calculations'!$E$29/I193,1),"-")</f>
        <v>-</v>
      </c>
      <c r="K193" s="37"/>
      <c r="L193" s="26"/>
      <c r="M193" s="26"/>
      <c r="N193" s="26"/>
      <c r="O193" s="95" t="str">
        <f t="shared" si="8"/>
        <v>-</v>
      </c>
      <c r="P193" s="97" t="str">
        <f t="shared" si="10"/>
        <v>-</v>
      </c>
    </row>
    <row r="194" spans="3:16">
      <c r="C194" s="26"/>
      <c r="D194" s="115"/>
      <c r="E194" s="34"/>
      <c r="F194" s="108" t="str">
        <f t="shared" si="9"/>
        <v>-</v>
      </c>
      <c r="G194" s="199"/>
      <c r="H194" s="118"/>
      <c r="I194" s="26"/>
      <c r="J194" s="101" t="str">
        <f>IFERROR(MIN('MP Calculations'!$E$29/I194,1),"-")</f>
        <v>-</v>
      </c>
      <c r="K194" s="37"/>
      <c r="L194" s="26"/>
      <c r="M194" s="26"/>
      <c r="N194" s="26"/>
      <c r="O194" s="95" t="str">
        <f t="shared" si="8"/>
        <v>-</v>
      </c>
      <c r="P194" s="97" t="str">
        <f t="shared" si="10"/>
        <v>-</v>
      </c>
    </row>
    <row r="195" spans="3:16">
      <c r="C195" s="26"/>
      <c r="D195" s="115"/>
      <c r="E195" s="34"/>
      <c r="F195" s="108" t="str">
        <f t="shared" si="9"/>
        <v>-</v>
      </c>
      <c r="G195" s="199"/>
      <c r="H195" s="118"/>
      <c r="I195" s="26"/>
      <c r="J195" s="101" t="str">
        <f>IFERROR(MIN('MP Calculations'!$E$29/I195,1),"-")</f>
        <v>-</v>
      </c>
      <c r="K195" s="37"/>
      <c r="L195" s="26"/>
      <c r="M195" s="26"/>
      <c r="N195" s="26"/>
      <c r="O195" s="95" t="str">
        <f t="shared" si="8"/>
        <v>-</v>
      </c>
      <c r="P195" s="97" t="str">
        <f t="shared" si="10"/>
        <v>-</v>
      </c>
    </row>
    <row r="196" spans="3:16">
      <c r="C196" s="26"/>
      <c r="D196" s="115"/>
      <c r="E196" s="34"/>
      <c r="F196" s="108" t="str">
        <f t="shared" si="9"/>
        <v>-</v>
      </c>
      <c r="G196" s="199"/>
      <c r="H196" s="118"/>
      <c r="I196" s="26"/>
      <c r="J196" s="101" t="str">
        <f>IFERROR(MIN('MP Calculations'!$E$29/I196,1),"-")</f>
        <v>-</v>
      </c>
      <c r="K196" s="37"/>
      <c r="L196" s="26"/>
      <c r="M196" s="26"/>
      <c r="N196" s="26"/>
      <c r="O196" s="95" t="str">
        <f t="shared" si="8"/>
        <v>-</v>
      </c>
      <c r="P196" s="97" t="str">
        <f t="shared" si="10"/>
        <v>-</v>
      </c>
    </row>
    <row r="197" spans="3:16">
      <c r="C197" s="26"/>
      <c r="D197" s="115"/>
      <c r="E197" s="34"/>
      <c r="F197" s="108" t="str">
        <f t="shared" si="9"/>
        <v>-</v>
      </c>
      <c r="G197" s="199"/>
      <c r="H197" s="118"/>
      <c r="I197" s="26"/>
      <c r="J197" s="101" t="str">
        <f>IFERROR(MIN('MP Calculations'!$E$29/I197,1),"-")</f>
        <v>-</v>
      </c>
      <c r="K197" s="37"/>
      <c r="L197" s="26"/>
      <c r="M197" s="26"/>
      <c r="N197" s="26"/>
      <c r="O197" s="95" t="str">
        <f t="shared" si="8"/>
        <v>-</v>
      </c>
      <c r="P197" s="97" t="str">
        <f t="shared" si="10"/>
        <v>-</v>
      </c>
    </row>
    <row r="198" spans="3:16">
      <c r="C198" s="26"/>
      <c r="D198" s="115"/>
      <c r="E198" s="34"/>
      <c r="F198" s="108" t="str">
        <f t="shared" si="9"/>
        <v>-</v>
      </c>
      <c r="G198" s="199"/>
      <c r="H198" s="118"/>
      <c r="I198" s="26"/>
      <c r="J198" s="101" t="str">
        <f>IFERROR(MIN('MP Calculations'!$E$29/I198,1),"-")</f>
        <v>-</v>
      </c>
      <c r="K198" s="37"/>
      <c r="L198" s="26"/>
      <c r="M198" s="26"/>
      <c r="N198" s="26"/>
      <c r="O198" s="95" t="str">
        <f t="shared" si="8"/>
        <v>-</v>
      </c>
      <c r="P198" s="97" t="str">
        <f t="shared" si="10"/>
        <v>-</v>
      </c>
    </row>
    <row r="199" spans="3:16">
      <c r="C199" s="26"/>
      <c r="D199" s="115"/>
      <c r="E199" s="34"/>
      <c r="F199" s="108" t="str">
        <f t="shared" si="9"/>
        <v>-</v>
      </c>
      <c r="G199" s="199"/>
      <c r="H199" s="118"/>
      <c r="I199" s="26"/>
      <c r="J199" s="101" t="str">
        <f>IFERROR(MIN('MP Calculations'!$E$29/I199,1),"-")</f>
        <v>-</v>
      </c>
      <c r="K199" s="37"/>
      <c r="L199" s="26"/>
      <c r="M199" s="26"/>
      <c r="N199" s="26"/>
      <c r="O199" s="95" t="str">
        <f t="shared" si="8"/>
        <v>-</v>
      </c>
      <c r="P199" s="97" t="str">
        <f t="shared" si="10"/>
        <v>-</v>
      </c>
    </row>
    <row r="200" spans="3:16">
      <c r="C200" s="26"/>
      <c r="D200" s="115"/>
      <c r="E200" s="34"/>
      <c r="F200" s="108" t="str">
        <f t="shared" si="9"/>
        <v>-</v>
      </c>
      <c r="G200" s="199"/>
      <c r="H200" s="118"/>
      <c r="I200" s="26"/>
      <c r="J200" s="101" t="str">
        <f>IFERROR(MIN('MP Calculations'!$E$29/I200,1),"-")</f>
        <v>-</v>
      </c>
      <c r="K200" s="37"/>
      <c r="L200" s="26"/>
      <c r="M200" s="26"/>
      <c r="N200" s="26"/>
      <c r="O200" s="95" t="str">
        <f t="shared" si="8"/>
        <v>-</v>
      </c>
      <c r="P200" s="97" t="str">
        <f t="shared" si="10"/>
        <v>-</v>
      </c>
    </row>
    <row r="201" spans="3:16">
      <c r="C201" s="26"/>
      <c r="D201" s="115"/>
      <c r="E201" s="34"/>
      <c r="F201" s="108" t="str">
        <f t="shared" si="9"/>
        <v>-</v>
      </c>
      <c r="G201" s="199"/>
      <c r="H201" s="118"/>
      <c r="I201" s="26"/>
      <c r="J201" s="101" t="str">
        <f>IFERROR(MIN('MP Calculations'!$E$29/I201,1),"-")</f>
        <v>-</v>
      </c>
      <c r="K201" s="37"/>
      <c r="L201" s="26"/>
      <c r="M201" s="26"/>
      <c r="N201" s="26"/>
      <c r="O201" s="95" t="str">
        <f t="shared" si="8"/>
        <v>-</v>
      </c>
      <c r="P201" s="97" t="str">
        <f t="shared" si="10"/>
        <v>-</v>
      </c>
    </row>
    <row r="202" spans="3:16">
      <c r="C202" s="26"/>
      <c r="D202" s="115"/>
      <c r="E202" s="34"/>
      <c r="F202" s="108" t="str">
        <f t="shared" si="9"/>
        <v>-</v>
      </c>
      <c r="G202" s="199"/>
      <c r="H202" s="118"/>
      <c r="I202" s="26"/>
      <c r="J202" s="101" t="str">
        <f>IFERROR(MIN('MP Calculations'!$E$29/I202,1),"-")</f>
        <v>-</v>
      </c>
      <c r="K202" s="37"/>
      <c r="L202" s="26"/>
      <c r="M202" s="26"/>
      <c r="N202" s="26"/>
      <c r="O202" s="95" t="str">
        <f t="shared" si="8"/>
        <v>-</v>
      </c>
      <c r="P202" s="97" t="str">
        <f t="shared" si="10"/>
        <v>-</v>
      </c>
    </row>
    <row r="203" spans="3:16">
      <c r="C203" s="26"/>
      <c r="D203" s="115"/>
      <c r="E203" s="34"/>
      <c r="F203" s="108" t="str">
        <f t="shared" si="9"/>
        <v>-</v>
      </c>
      <c r="G203" s="199"/>
      <c r="H203" s="118"/>
      <c r="I203" s="26"/>
      <c r="J203" s="101" t="str">
        <f>IFERROR(MIN('MP Calculations'!$E$29/I203,1),"-")</f>
        <v>-</v>
      </c>
      <c r="K203" s="37"/>
      <c r="L203" s="26"/>
      <c r="M203" s="26"/>
      <c r="N203" s="26"/>
      <c r="O203" s="95" t="str">
        <f t="shared" si="8"/>
        <v>-</v>
      </c>
      <c r="P203" s="97" t="str">
        <f t="shared" si="10"/>
        <v>-</v>
      </c>
    </row>
    <row r="204" spans="3:16">
      <c r="C204" s="26"/>
      <c r="D204" s="115"/>
      <c r="E204" s="34"/>
      <c r="F204" s="108" t="str">
        <f t="shared" si="9"/>
        <v>-</v>
      </c>
      <c r="G204" s="199"/>
      <c r="H204" s="118"/>
      <c r="I204" s="26"/>
      <c r="J204" s="101" t="str">
        <f>IFERROR(MIN('MP Calculations'!$E$29/I204,1),"-")</f>
        <v>-</v>
      </c>
      <c r="K204" s="37"/>
      <c r="L204" s="26"/>
      <c r="M204" s="26"/>
      <c r="N204" s="26"/>
      <c r="O204" s="95" t="str">
        <f t="shared" si="8"/>
        <v>-</v>
      </c>
      <c r="P204" s="97" t="str">
        <f t="shared" si="10"/>
        <v>-</v>
      </c>
    </row>
    <row r="205" spans="3:16">
      <c r="C205" s="26"/>
      <c r="D205" s="115"/>
      <c r="E205" s="34"/>
      <c r="F205" s="108" t="str">
        <f t="shared" si="9"/>
        <v>-</v>
      </c>
      <c r="G205" s="199"/>
      <c r="H205" s="118"/>
      <c r="I205" s="26"/>
      <c r="J205" s="101" t="str">
        <f>IFERROR(MIN('MP Calculations'!$E$29/I205,1),"-")</f>
        <v>-</v>
      </c>
      <c r="K205" s="37"/>
      <c r="L205" s="26"/>
      <c r="M205" s="26"/>
      <c r="N205" s="26"/>
      <c r="O205" s="95" t="str">
        <f t="shared" si="8"/>
        <v>-</v>
      </c>
      <c r="P205" s="97" t="str">
        <f t="shared" si="10"/>
        <v>-</v>
      </c>
    </row>
    <row r="206" spans="3:16">
      <c r="C206" s="26"/>
      <c r="D206" s="115"/>
      <c r="E206" s="34"/>
      <c r="F206" s="108" t="str">
        <f t="shared" si="9"/>
        <v>-</v>
      </c>
      <c r="G206" s="199"/>
      <c r="H206" s="118"/>
      <c r="I206" s="26"/>
      <c r="J206" s="101" t="str">
        <f>IFERROR(MIN('MP Calculations'!$E$29/I206,1),"-")</f>
        <v>-</v>
      </c>
      <c r="K206" s="37"/>
      <c r="L206" s="26"/>
      <c r="M206" s="26"/>
      <c r="N206" s="26"/>
      <c r="O206" s="95" t="str">
        <f t="shared" si="8"/>
        <v>-</v>
      </c>
      <c r="P206" s="97" t="str">
        <f t="shared" si="10"/>
        <v>-</v>
      </c>
    </row>
    <row r="207" spans="3:16">
      <c r="C207" s="26"/>
      <c r="D207" s="115"/>
      <c r="E207" s="34"/>
      <c r="F207" s="108" t="str">
        <f t="shared" si="9"/>
        <v>-</v>
      </c>
      <c r="G207" s="199"/>
      <c r="H207" s="118"/>
      <c r="I207" s="26"/>
      <c r="J207" s="101" t="str">
        <f>IFERROR(MIN('MP Calculations'!$E$29/I207,1),"-")</f>
        <v>-</v>
      </c>
      <c r="K207" s="37"/>
      <c r="L207" s="26"/>
      <c r="M207" s="26"/>
      <c r="N207" s="26"/>
      <c r="O207" s="95" t="str">
        <f t="shared" si="8"/>
        <v>-</v>
      </c>
      <c r="P207" s="97" t="str">
        <f t="shared" si="10"/>
        <v>-</v>
      </c>
    </row>
    <row r="208" spans="3:16">
      <c r="C208" s="26"/>
      <c r="D208" s="115"/>
      <c r="E208" s="34"/>
      <c r="F208" s="108" t="str">
        <f t="shared" si="9"/>
        <v>-</v>
      </c>
      <c r="G208" s="199"/>
      <c r="H208" s="118"/>
      <c r="I208" s="26"/>
      <c r="J208" s="101" t="str">
        <f>IFERROR(MIN('MP Calculations'!$E$29/I208,1),"-")</f>
        <v>-</v>
      </c>
      <c r="K208" s="37"/>
      <c r="L208" s="26"/>
      <c r="M208" s="26"/>
      <c r="N208" s="26"/>
      <c r="O208" s="95" t="str">
        <f t="shared" si="8"/>
        <v>-</v>
      </c>
      <c r="P208" s="97" t="str">
        <f t="shared" si="10"/>
        <v>-</v>
      </c>
    </row>
    <row r="209" spans="3:16">
      <c r="C209" s="26"/>
      <c r="D209" s="115"/>
      <c r="E209" s="34"/>
      <c r="F209" s="108" t="str">
        <f t="shared" si="9"/>
        <v>-</v>
      </c>
      <c r="G209" s="199"/>
      <c r="H209" s="118"/>
      <c r="I209" s="26"/>
      <c r="J209" s="101" t="str">
        <f>IFERROR(MIN('MP Calculations'!$E$29/I209,1),"-")</f>
        <v>-</v>
      </c>
      <c r="K209" s="37"/>
      <c r="L209" s="26"/>
      <c r="M209" s="26"/>
      <c r="N209" s="26"/>
      <c r="O209" s="95" t="str">
        <f t="shared" si="8"/>
        <v>-</v>
      </c>
      <c r="P209" s="97" t="str">
        <f t="shared" si="10"/>
        <v>-</v>
      </c>
    </row>
    <row r="210" spans="3:16">
      <c r="C210" s="26"/>
      <c r="D210" s="115"/>
      <c r="E210" s="34"/>
      <c r="F210" s="108" t="str">
        <f t="shared" si="9"/>
        <v>-</v>
      </c>
      <c r="G210" s="199"/>
      <c r="H210" s="118"/>
      <c r="I210" s="26"/>
      <c r="J210" s="101" t="str">
        <f>IFERROR(MIN('MP Calculations'!$E$29/I210,1),"-")</f>
        <v>-</v>
      </c>
      <c r="K210" s="37"/>
      <c r="L210" s="26"/>
      <c r="M210" s="26"/>
      <c r="N210" s="26"/>
      <c r="O210" s="95" t="str">
        <f t="shared" si="8"/>
        <v>-</v>
      </c>
      <c r="P210" s="97" t="str">
        <f t="shared" si="10"/>
        <v>-</v>
      </c>
    </row>
    <row r="211" spans="3:16">
      <c r="C211" s="26"/>
      <c r="D211" s="115"/>
      <c r="E211" s="34"/>
      <c r="F211" s="108" t="str">
        <f t="shared" si="9"/>
        <v>-</v>
      </c>
      <c r="G211" s="199"/>
      <c r="H211" s="118"/>
      <c r="I211" s="26"/>
      <c r="J211" s="101" t="str">
        <f>IFERROR(MIN('MP Calculations'!$E$29/I211,1),"-")</f>
        <v>-</v>
      </c>
      <c r="K211" s="37"/>
      <c r="L211" s="26"/>
      <c r="M211" s="26"/>
      <c r="N211" s="26"/>
      <c r="O211" s="95" t="str">
        <f t="shared" si="8"/>
        <v>-</v>
      </c>
      <c r="P211" s="97" t="str">
        <f t="shared" si="10"/>
        <v>-</v>
      </c>
    </row>
    <row r="212" spans="3:16">
      <c r="C212" s="26"/>
      <c r="D212" s="115"/>
      <c r="E212" s="34"/>
      <c r="F212" s="108" t="str">
        <f t="shared" si="9"/>
        <v>-</v>
      </c>
      <c r="G212" s="199"/>
      <c r="H212" s="118"/>
      <c r="I212" s="26"/>
      <c r="J212" s="101" t="str">
        <f>IFERROR(MIN('MP Calculations'!$E$29/I212,1),"-")</f>
        <v>-</v>
      </c>
      <c r="K212" s="37"/>
      <c r="L212" s="26"/>
      <c r="M212" s="26"/>
      <c r="N212" s="26"/>
      <c r="O212" s="95" t="str">
        <f t="shared" si="8"/>
        <v>-</v>
      </c>
      <c r="P212" s="97" t="str">
        <f t="shared" si="10"/>
        <v>-</v>
      </c>
    </row>
    <row r="213" spans="3:16">
      <c r="C213" s="26"/>
      <c r="D213" s="115"/>
      <c r="E213" s="34"/>
      <c r="F213" s="108" t="str">
        <f t="shared" si="9"/>
        <v>-</v>
      </c>
      <c r="G213" s="199"/>
      <c r="H213" s="118"/>
      <c r="I213" s="26"/>
      <c r="J213" s="101" t="str">
        <f>IFERROR(MIN('MP Calculations'!$E$29/I213,1),"-")</f>
        <v>-</v>
      </c>
      <c r="K213" s="37"/>
      <c r="L213" s="26"/>
      <c r="M213" s="26"/>
      <c r="N213" s="26"/>
      <c r="O213" s="95" t="str">
        <f t="shared" si="8"/>
        <v>-</v>
      </c>
      <c r="P213" s="97" t="str">
        <f t="shared" si="10"/>
        <v>-</v>
      </c>
    </row>
    <row r="214" spans="3:16">
      <c r="C214" s="26"/>
      <c r="D214" s="115"/>
      <c r="E214" s="34"/>
      <c r="F214" s="108" t="str">
        <f t="shared" si="9"/>
        <v>-</v>
      </c>
      <c r="G214" s="199"/>
      <c r="H214" s="118"/>
      <c r="I214" s="26"/>
      <c r="J214" s="101" t="str">
        <f>IFERROR(MIN('MP Calculations'!$E$29/I214,1),"-")</f>
        <v>-</v>
      </c>
      <c r="K214" s="37"/>
      <c r="L214" s="26"/>
      <c r="M214" s="26"/>
      <c r="N214" s="26"/>
      <c r="O214" s="95" t="str">
        <f t="shared" si="8"/>
        <v>-</v>
      </c>
      <c r="P214" s="97" t="str">
        <f t="shared" si="10"/>
        <v>-</v>
      </c>
    </row>
    <row r="215" spans="3:16">
      <c r="C215" s="26"/>
      <c r="D215" s="115"/>
      <c r="E215" s="34"/>
      <c r="F215" s="108" t="str">
        <f t="shared" si="9"/>
        <v>-</v>
      </c>
      <c r="G215" s="199"/>
      <c r="H215" s="118"/>
      <c r="I215" s="26"/>
      <c r="J215" s="101" t="str">
        <f>IFERROR(MIN('MP Calculations'!$E$29/I215,1),"-")</f>
        <v>-</v>
      </c>
      <c r="K215" s="37"/>
      <c r="L215" s="26"/>
      <c r="M215" s="26"/>
      <c r="N215" s="26"/>
      <c r="O215" s="95" t="str">
        <f t="shared" ref="O215:O218" si="11">IF(N215="","-",L215*N215)</f>
        <v>-</v>
      </c>
      <c r="P215" s="97" t="str">
        <f t="shared" si="10"/>
        <v>-</v>
      </c>
    </row>
    <row r="216" spans="3:16">
      <c r="C216" s="26"/>
      <c r="D216" s="115"/>
      <c r="E216" s="34"/>
      <c r="F216" s="108" t="str">
        <f t="shared" si="9"/>
        <v>-</v>
      </c>
      <c r="G216" s="199"/>
      <c r="H216" s="118"/>
      <c r="I216" s="26"/>
      <c r="J216" s="101" t="str">
        <f>IFERROR(MIN('MP Calculations'!$E$29/I216,1),"-")</f>
        <v>-</v>
      </c>
      <c r="K216" s="37"/>
      <c r="L216" s="26"/>
      <c r="M216" s="26"/>
      <c r="N216" s="26"/>
      <c r="O216" s="95" t="str">
        <f t="shared" si="11"/>
        <v>-</v>
      </c>
      <c r="P216" s="97" t="str">
        <f t="shared" si="10"/>
        <v>-</v>
      </c>
    </row>
    <row r="217" spans="3:16">
      <c r="C217" s="26"/>
      <c r="D217" s="115"/>
      <c r="E217" s="34"/>
      <c r="F217" s="108" t="str">
        <f t="shared" si="9"/>
        <v>-</v>
      </c>
      <c r="G217" s="199"/>
      <c r="H217" s="118"/>
      <c r="I217" s="26"/>
      <c r="J217" s="101" t="str">
        <f>IFERROR(MIN('MP Calculations'!$E$29/I217,1),"-")</f>
        <v>-</v>
      </c>
      <c r="K217" s="37"/>
      <c r="L217" s="26"/>
      <c r="M217" s="26"/>
      <c r="N217" s="26"/>
      <c r="O217" s="95" t="str">
        <f t="shared" si="11"/>
        <v>-</v>
      </c>
      <c r="P217" s="97" t="str">
        <f t="shared" si="10"/>
        <v>-</v>
      </c>
    </row>
    <row r="218" spans="3:16" ht="48">
      <c r="C218" s="30"/>
      <c r="D218" s="132"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34"/>
      <c r="F218" s="93" t="str">
        <f t="shared" si="3"/>
        <v>-</v>
      </c>
      <c r="G218" s="199"/>
      <c r="H218" s="116"/>
      <c r="I218" s="40"/>
      <c r="J218" s="120" t="str">
        <f>IFERROR(MIN('MP Calculations'!$E$29/I218,1),"-")</f>
        <v>-</v>
      </c>
      <c r="K218" s="199"/>
      <c r="L218" s="31"/>
      <c r="M218" s="31"/>
      <c r="N218" s="31"/>
      <c r="O218" s="121" t="str">
        <f t="shared" si="11"/>
        <v>-</v>
      </c>
      <c r="P218" s="98" t="str">
        <f t="shared" si="5"/>
        <v>-</v>
      </c>
    </row>
    <row r="219" spans="3:16">
      <c r="C219" s="199"/>
      <c r="D219" s="119"/>
      <c r="E219" s="199"/>
      <c r="F219" s="199"/>
      <c r="G219" s="199"/>
      <c r="H219" s="199"/>
      <c r="I219" s="199"/>
      <c r="J219" s="199"/>
      <c r="K219" s="199"/>
      <c r="L219" s="199"/>
      <c r="M219" s="199"/>
      <c r="N219" s="199"/>
      <c r="O219" s="199"/>
      <c r="P219" s="199"/>
    </row>
  </sheetData>
  <sheetProtection algorithmName="SHA-512" hashValue="/GzQpNzR+6HKtkVDAANSO80ZNfC88Pen6JHuJ4sID7PSTGJU8+uQLmqpJ4Ct6wL9TfuanT73/9aSiH57qSBVyQ==" saltValue="wGLxIlcixUHGrSl29CN4QQ==" spinCount="100000" sheet="1" objects="1" scenarios="1"/>
  <conditionalFormatting sqref="F22:F218">
    <cfRule type="containsText" dxfId="5" priority="2" operator="containsText" text="ERROR">
      <formula>NOT(ISERROR(SEARCH("ERROR",F22)))</formula>
    </cfRule>
  </conditionalFormatting>
  <conditionalFormatting sqref="J22:J218">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N103"/>
  <sheetViews>
    <sheetView showGridLines="0" topLeftCell="A6" zoomScaleNormal="100" workbookViewId="0">
      <selection activeCell="D41" sqref="D41"/>
    </sheetView>
  </sheetViews>
  <sheetFormatPr defaultRowHeight="1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customWidth="1"/>
    <col min="10" max="10" width="7.7109375" customWidth="1"/>
    <col min="11" max="11" width="2.7109375" customWidth="1"/>
    <col min="12" max="12" width="15.7109375" customWidth="1"/>
    <col min="13" max="13" width="7.7109375" customWidth="1"/>
    <col min="14" max="14" width="2.7109375" customWidth="1"/>
    <col min="15" max="15" width="15.7109375" customWidth="1"/>
    <col min="16" max="16" width="7.7109375" customWidth="1"/>
    <col min="17" max="17" width="2.7109375" customWidth="1"/>
    <col min="18" max="18" width="15.7109375" customWidth="1"/>
    <col min="19" max="19" width="7.7109375" customWidth="1"/>
    <col min="20" max="20" width="2.7109375" customWidth="1"/>
    <col min="21" max="21" width="15.7109375" customWidth="1"/>
    <col min="22" max="22" width="7.7109375" customWidth="1"/>
    <col min="23" max="23" width="2.7109375" customWidth="1"/>
    <col min="24" max="24" width="15.7109375" customWidth="1"/>
    <col min="25" max="25" width="7.7109375" customWidth="1"/>
    <col min="26" max="26" width="2.7109375" customWidth="1"/>
    <col min="27" max="27" width="15.7109375" customWidth="1"/>
    <col min="28" max="28" width="7.7109375" customWidth="1"/>
    <col min="29" max="29" width="2.7109375" customWidth="1"/>
    <col min="30" max="30" width="15.7109375" customWidth="1"/>
    <col min="31" max="31" width="7.7109375" customWidth="1"/>
    <col min="32" max="32" width="2.7109375" customWidth="1"/>
    <col min="33" max="33" width="15.7109375" customWidth="1"/>
    <col min="36" max="36" width="29.5703125" customWidth="1"/>
    <col min="37" max="37" width="23.5703125" customWidth="1"/>
  </cols>
  <sheetData>
    <row r="3" spans="3:40" ht="20.25">
      <c r="C3" s="58" t="s">
        <v>201</v>
      </c>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row>
    <row r="6" spans="3:40">
      <c r="C6" s="6" t="s">
        <v>202</v>
      </c>
      <c r="D6" s="199"/>
      <c r="E6" s="199"/>
      <c r="F6" s="135">
        <f>'General inputs'!H36</f>
        <v>200</v>
      </c>
      <c r="G6" s="177" t="str">
        <f ca="1">"Input entered at "&amp;ADDRESS(ROW('General inputs'!$H$36),COLUMN('General inputs'!$H$36))&amp;" on the '"&amp;MID(CELL("filename",'General inputs'!$A$1),FIND("]",CELL("filename",'General inputs'!$A$1))+1,255)&amp;"' worksheet. "</f>
        <v xml:space="preserve">Input entered at $H$36 on the 'General inputs' worksheet. </v>
      </c>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row>
    <row r="8" spans="3:40">
      <c r="C8" s="199"/>
      <c r="D8" s="199"/>
      <c r="E8" s="199"/>
      <c r="F8" s="46" t="s">
        <v>203</v>
      </c>
      <c r="G8" s="46"/>
      <c r="H8" s="47"/>
      <c r="I8" s="46" t="s">
        <v>204</v>
      </c>
      <c r="J8" s="46"/>
      <c r="K8" s="47"/>
      <c r="L8" s="202" t="s">
        <v>205</v>
      </c>
      <c r="M8" s="203"/>
      <c r="N8" s="47"/>
      <c r="O8" s="202" t="s">
        <v>206</v>
      </c>
      <c r="P8" s="203"/>
      <c r="Q8" s="47"/>
      <c r="R8" s="202" t="s">
        <v>207</v>
      </c>
      <c r="S8" s="203"/>
      <c r="T8" s="47"/>
      <c r="U8" s="202" t="s">
        <v>208</v>
      </c>
      <c r="V8" s="203"/>
      <c r="W8" s="47"/>
      <c r="X8" s="202" t="s">
        <v>209</v>
      </c>
      <c r="Y8" s="203"/>
      <c r="Z8" s="47"/>
      <c r="AA8" s="202" t="s">
        <v>210</v>
      </c>
      <c r="AB8" s="203"/>
      <c r="AC8" s="47"/>
      <c r="AD8" s="202" t="s">
        <v>211</v>
      </c>
      <c r="AE8" s="203"/>
      <c r="AF8" s="47"/>
      <c r="AG8" s="202" t="s">
        <v>212</v>
      </c>
      <c r="AH8" s="203"/>
      <c r="AI8" s="199"/>
      <c r="AJ8" s="199"/>
      <c r="AK8" s="199"/>
      <c r="AL8" s="199"/>
      <c r="AM8" s="199"/>
      <c r="AN8" s="199"/>
    </row>
    <row r="9" spans="3:40">
      <c r="C9" s="6" t="s">
        <v>213</v>
      </c>
      <c r="D9" s="199"/>
      <c r="E9" s="199"/>
      <c r="F9" s="24" t="s">
        <v>214</v>
      </c>
      <c r="G9" s="63">
        <v>200</v>
      </c>
      <c r="H9" s="37"/>
      <c r="I9" s="24" t="s">
        <v>214</v>
      </c>
      <c r="J9" s="63">
        <v>150</v>
      </c>
      <c r="K9" s="37"/>
      <c r="L9" s="61" t="s">
        <v>215</v>
      </c>
      <c r="M9" s="62">
        <v>20000</v>
      </c>
      <c r="N9" s="37"/>
      <c r="O9" s="61" t="s">
        <v>216</v>
      </c>
      <c r="P9" s="62">
        <v>5000</v>
      </c>
      <c r="Q9" s="37"/>
      <c r="R9" s="61" t="s">
        <v>215</v>
      </c>
      <c r="S9" s="62">
        <v>20000</v>
      </c>
      <c r="T9" s="37"/>
      <c r="U9" s="61" t="s">
        <v>216</v>
      </c>
      <c r="V9" s="62">
        <v>5000</v>
      </c>
      <c r="W9" s="37"/>
      <c r="X9" s="61" t="s">
        <v>215</v>
      </c>
      <c r="Y9" s="62">
        <v>20000</v>
      </c>
      <c r="Z9" s="37"/>
      <c r="AA9" s="61" t="s">
        <v>216</v>
      </c>
      <c r="AB9" s="62">
        <v>5000</v>
      </c>
      <c r="AC9" s="37"/>
      <c r="AD9" s="61" t="s">
        <v>215</v>
      </c>
      <c r="AE9" s="62">
        <v>20000</v>
      </c>
      <c r="AF9" s="37"/>
      <c r="AG9" s="61" t="s">
        <v>216</v>
      </c>
      <c r="AH9" s="62">
        <v>5000</v>
      </c>
      <c r="AI9" s="199"/>
      <c r="AJ9" s="199"/>
      <c r="AK9" s="199"/>
      <c r="AL9" s="199"/>
      <c r="AM9" s="199"/>
      <c r="AN9" s="199"/>
    </row>
    <row r="11" spans="3:40" ht="36">
      <c r="C11" s="199"/>
      <c r="D11" s="176" t="s">
        <v>217</v>
      </c>
      <c r="E11" s="35"/>
      <c r="F11" s="176" t="s">
        <v>218</v>
      </c>
      <c r="G11" s="37" t="s">
        <v>94</v>
      </c>
      <c r="H11" s="37"/>
      <c r="I11" s="35" t="s">
        <v>219</v>
      </c>
      <c r="J11" s="37" t="s">
        <v>94</v>
      </c>
      <c r="K11" s="37"/>
      <c r="L11" s="35" t="str">
        <f>"Annual take-up of "&amp;INDEX($AK$12:$AK$19,MATCH(L9,$AJ$12:$AJ$20,0))&amp;" for "&amp;L8</f>
        <v>Annual take-up of hectares for Schools</v>
      </c>
      <c r="M11" s="37" t="s">
        <v>94</v>
      </c>
      <c r="N11" s="37"/>
      <c r="O11" s="35" t="str">
        <f>"Annual take-up of "&amp;INDEX($AK$12:$AK$19,MATCH(O9,$AJ$12:$AJ$20,0))&amp;" for "&amp;O8</f>
        <v>Annual take-up of properties for Commercial</v>
      </c>
      <c r="P11" s="37" t="s">
        <v>94</v>
      </c>
      <c r="Q11" s="37"/>
      <c r="R11" s="35" t="str">
        <f>"Annual take-up of "&amp;INDEX($AK$12:$AK$19,MATCH(R9,$AJ$12:$AJ$20,0))&amp;" for "&amp;R8</f>
        <v>Annual take-up of hectares for Light industrial</v>
      </c>
      <c r="S11" s="37" t="s">
        <v>94</v>
      </c>
      <c r="T11" s="37"/>
      <c r="U11" s="35" t="str">
        <f>"Annual take-up of "&amp;INDEX($AK$12:$AK$19,MATCH(U9,$AJ$12:$AJ$20,0))&amp;" for "&amp;U8</f>
        <v>Annual take-up of properties for Non-res 4</v>
      </c>
      <c r="V11" s="37" t="s">
        <v>94</v>
      </c>
      <c r="W11" s="37"/>
      <c r="X11" s="35" t="str">
        <f>"Annual take-up of "&amp;INDEX($AK$12:$AK$19,MATCH(X9,$AJ$12:$AJ$20,0))&amp;" for "&amp;X8</f>
        <v>Annual take-up of hectares for Non-res 5</v>
      </c>
      <c r="Y11" s="37" t="s">
        <v>94</v>
      </c>
      <c r="Z11" s="37"/>
      <c r="AA11" s="35" t="str">
        <f>"Annual take-up of "&amp;INDEX($AK$12:$AK$19,MATCH(AA9,$AJ$12:$AJ$20,0))&amp;" for "&amp;AA8</f>
        <v>Annual take-up of properties for Non-res 6</v>
      </c>
      <c r="AB11" s="37" t="s">
        <v>94</v>
      </c>
      <c r="AC11" s="37"/>
      <c r="AD11" s="35" t="str">
        <f>"Annual take-up of "&amp;INDEX($AK$12:$AK$19,MATCH(AD9,$AJ$12:$AJ$20,0))&amp;" for "&amp;AD8</f>
        <v>Annual take-up of hectares for Non-res 7</v>
      </c>
      <c r="AE11" s="37" t="s">
        <v>94</v>
      </c>
      <c r="AF11" s="37"/>
      <c r="AG11" s="35" t="str">
        <f>"Annual take-up of "&amp;INDEX($AK$12:$AK$19,MATCH(AG9,$AJ$12:$AJ$20,0))&amp;" for "&amp;AG8</f>
        <v>Annual take-up of properties for Non-res 8</v>
      </c>
      <c r="AH11" s="37" t="s">
        <v>94</v>
      </c>
      <c r="AI11" s="199"/>
      <c r="AJ11" s="104" t="s">
        <v>220</v>
      </c>
      <c r="AK11" s="28"/>
      <c r="AL11" s="199"/>
      <c r="AM11" s="136"/>
      <c r="AN11" s="28"/>
    </row>
    <row r="12" spans="3:40" ht="12" customHeight="1">
      <c r="C12" s="28" t="str">
        <f>'MP Calculations'!D39</f>
        <v>1995-96</v>
      </c>
      <c r="D12" s="43">
        <f>IF(LEFT($C12,4)*1&lt;LEFT('General inputs'!$I$16,4)+'General inputs'!$H$38,SUM(G12,J12,M12,P12,S12,V12,Y12,AB12,AE12,AH12),"")</f>
        <v>0</v>
      </c>
      <c r="E12" s="199"/>
      <c r="F12" s="48">
        <v>0</v>
      </c>
      <c r="G12" s="43">
        <f>F12*$G$9/$F$6</f>
        <v>0</v>
      </c>
      <c r="H12" s="199"/>
      <c r="I12" s="48">
        <v>0</v>
      </c>
      <c r="J12" s="43">
        <f t="shared" ref="J12:J43" si="0">I12*$J$9/$F$6</f>
        <v>0</v>
      </c>
      <c r="K12" s="199"/>
      <c r="L12" s="48">
        <v>0</v>
      </c>
      <c r="M12" s="43">
        <f t="shared" ref="M12:M43" si="1">L12*$M$9/$F$6</f>
        <v>0</v>
      </c>
      <c r="N12" s="199"/>
      <c r="O12" s="48">
        <v>0</v>
      </c>
      <c r="P12" s="43">
        <f t="shared" ref="P12:P43" si="2">O12*$P$9/$F$6</f>
        <v>0</v>
      </c>
      <c r="Q12" s="199"/>
      <c r="R12" s="48">
        <v>0</v>
      </c>
      <c r="S12" s="43">
        <f t="shared" ref="S12:S43" si="3">R12*$S$9/$F$6</f>
        <v>0</v>
      </c>
      <c r="T12" s="199"/>
      <c r="U12" s="48">
        <v>0</v>
      </c>
      <c r="V12" s="43">
        <f t="shared" ref="V12:V43" si="4">U12*$V$9/$F$6</f>
        <v>0</v>
      </c>
      <c r="W12" s="199"/>
      <c r="X12" s="48">
        <v>0</v>
      </c>
      <c r="Y12" s="43">
        <f t="shared" ref="Y12:Y43" si="5">X12*$Y$9/$F$6</f>
        <v>0</v>
      </c>
      <c r="Z12" s="199"/>
      <c r="AA12" s="48">
        <v>0</v>
      </c>
      <c r="AB12" s="43">
        <f t="shared" ref="AB12:AB43" si="6">AA12*$AB$9/$F$6</f>
        <v>0</v>
      </c>
      <c r="AC12" s="199"/>
      <c r="AD12" s="48">
        <v>0</v>
      </c>
      <c r="AE12" s="43">
        <f t="shared" ref="AE12:AE43" si="7">AD12*$AE$9/$F$6</f>
        <v>0</v>
      </c>
      <c r="AF12" s="199"/>
      <c r="AG12" s="48">
        <v>0</v>
      </c>
      <c r="AH12" s="43">
        <f t="shared" ref="AH12:AH43" si="8">AG12*$AH$9/$F$6</f>
        <v>0</v>
      </c>
      <c r="AI12" s="105">
        <v>1</v>
      </c>
      <c r="AJ12" s="64" t="s">
        <v>216</v>
      </c>
      <c r="AK12" s="64" t="s">
        <v>221</v>
      </c>
      <c r="AL12" s="199"/>
      <c r="AM12" s="199"/>
      <c r="AN12" s="199"/>
    </row>
    <row r="13" spans="3:40">
      <c r="C13" s="28" t="str">
        <f>'MP Calculations'!D40</f>
        <v>1996-97</v>
      </c>
      <c r="D13" s="44">
        <f>IF(LEFT($C13,4)*1&lt;LEFT('General inputs'!$I$16,4)+'General inputs'!$H$38,SUM(G13,J13,M13,P13,S13,V13,Y13,AB13,AE13,AH13),"")</f>
        <v>0</v>
      </c>
      <c r="E13" s="199"/>
      <c r="F13" s="39">
        <v>0</v>
      </c>
      <c r="G13" s="44">
        <f t="shared" ref="G13:G43" si="9">F13*$G$9/$F$6</f>
        <v>0</v>
      </c>
      <c r="H13" s="199"/>
      <c r="I13" s="39">
        <v>0</v>
      </c>
      <c r="J13" s="44">
        <f t="shared" si="0"/>
        <v>0</v>
      </c>
      <c r="K13" s="199"/>
      <c r="L13" s="39">
        <v>0</v>
      </c>
      <c r="M13" s="44">
        <f t="shared" si="1"/>
        <v>0</v>
      </c>
      <c r="N13" s="199"/>
      <c r="O13" s="39">
        <v>0</v>
      </c>
      <c r="P13" s="44">
        <f t="shared" si="2"/>
        <v>0</v>
      </c>
      <c r="Q13" s="199"/>
      <c r="R13" s="39">
        <v>0</v>
      </c>
      <c r="S13" s="44">
        <f t="shared" si="3"/>
        <v>0</v>
      </c>
      <c r="T13" s="199"/>
      <c r="U13" s="39">
        <v>0</v>
      </c>
      <c r="V13" s="44">
        <f t="shared" si="4"/>
        <v>0</v>
      </c>
      <c r="W13" s="199"/>
      <c r="X13" s="39">
        <v>0</v>
      </c>
      <c r="Y13" s="44">
        <f t="shared" si="5"/>
        <v>0</v>
      </c>
      <c r="Z13" s="199"/>
      <c r="AA13" s="39">
        <v>0</v>
      </c>
      <c r="AB13" s="44">
        <f t="shared" si="6"/>
        <v>0</v>
      </c>
      <c r="AC13" s="199"/>
      <c r="AD13" s="39">
        <v>0</v>
      </c>
      <c r="AE13" s="44">
        <f t="shared" si="7"/>
        <v>0</v>
      </c>
      <c r="AF13" s="199"/>
      <c r="AG13" s="39">
        <v>0</v>
      </c>
      <c r="AH13" s="44">
        <f t="shared" si="8"/>
        <v>0</v>
      </c>
      <c r="AI13" s="199">
        <f>AI12+1</f>
        <v>2</v>
      </c>
      <c r="AJ13" s="27" t="s">
        <v>215</v>
      </c>
      <c r="AK13" s="27" t="s">
        <v>222</v>
      </c>
      <c r="AL13" s="199"/>
      <c r="AM13" s="199"/>
      <c r="AN13" s="199"/>
    </row>
    <row r="14" spans="3:40">
      <c r="C14" s="28" t="str">
        <f>'MP Calculations'!D41</f>
        <v>1997-98</v>
      </c>
      <c r="D14" s="44">
        <f>IF(LEFT($C14,4)*1&lt;LEFT('General inputs'!$I$16,4)+'General inputs'!$H$38,SUM(G14,J14,M14,P14,S14,V14,Y14,AB14,AE14,AH14),"")</f>
        <v>0</v>
      </c>
      <c r="E14" s="199"/>
      <c r="F14" s="39">
        <v>0</v>
      </c>
      <c r="G14" s="44">
        <f t="shared" si="9"/>
        <v>0</v>
      </c>
      <c r="H14" s="199"/>
      <c r="I14" s="39">
        <v>0</v>
      </c>
      <c r="J14" s="44">
        <f t="shared" si="0"/>
        <v>0</v>
      </c>
      <c r="K14" s="199"/>
      <c r="L14" s="39">
        <v>0</v>
      </c>
      <c r="M14" s="44">
        <f t="shared" si="1"/>
        <v>0</v>
      </c>
      <c r="N14" s="199"/>
      <c r="O14" s="39">
        <v>0</v>
      </c>
      <c r="P14" s="44">
        <f t="shared" si="2"/>
        <v>0</v>
      </c>
      <c r="Q14" s="199"/>
      <c r="R14" s="39">
        <v>0</v>
      </c>
      <c r="S14" s="44">
        <f t="shared" si="3"/>
        <v>0</v>
      </c>
      <c r="T14" s="199"/>
      <c r="U14" s="39">
        <v>0</v>
      </c>
      <c r="V14" s="44">
        <f t="shared" si="4"/>
        <v>0</v>
      </c>
      <c r="W14" s="199"/>
      <c r="X14" s="39">
        <v>0</v>
      </c>
      <c r="Y14" s="44">
        <f t="shared" si="5"/>
        <v>0</v>
      </c>
      <c r="Z14" s="199"/>
      <c r="AA14" s="39">
        <v>0</v>
      </c>
      <c r="AB14" s="44">
        <f t="shared" si="6"/>
        <v>0</v>
      </c>
      <c r="AC14" s="199"/>
      <c r="AD14" s="39">
        <v>0</v>
      </c>
      <c r="AE14" s="44">
        <f t="shared" si="7"/>
        <v>0</v>
      </c>
      <c r="AF14" s="199"/>
      <c r="AG14" s="39">
        <v>0</v>
      </c>
      <c r="AH14" s="44">
        <f t="shared" si="8"/>
        <v>0</v>
      </c>
      <c r="AI14" s="199">
        <f t="shared" ref="AI14:AI18" si="10">AI13+1</f>
        <v>3</v>
      </c>
      <c r="AJ14" s="27"/>
      <c r="AK14" s="27"/>
      <c r="AL14" s="199"/>
      <c r="AM14" s="199"/>
      <c r="AN14" s="199"/>
    </row>
    <row r="15" spans="3:40">
      <c r="C15" s="28" t="str">
        <f>'MP Calculations'!D42</f>
        <v>1998-99</v>
      </c>
      <c r="D15" s="44">
        <f>IF(LEFT($C15,4)*1&lt;LEFT('General inputs'!$I$16,4)+'General inputs'!$H$38,SUM(G15,J15,M15,P15,S15,V15,Y15,AB15,AE15,AH15),"")</f>
        <v>0</v>
      </c>
      <c r="E15" s="199"/>
      <c r="F15" s="39">
        <v>0</v>
      </c>
      <c r="G15" s="44">
        <f t="shared" si="9"/>
        <v>0</v>
      </c>
      <c r="H15" s="199"/>
      <c r="I15" s="39">
        <v>0</v>
      </c>
      <c r="J15" s="44">
        <f t="shared" si="0"/>
        <v>0</v>
      </c>
      <c r="K15" s="199"/>
      <c r="L15" s="39">
        <v>0</v>
      </c>
      <c r="M15" s="44">
        <f t="shared" si="1"/>
        <v>0</v>
      </c>
      <c r="N15" s="199"/>
      <c r="O15" s="39">
        <v>0</v>
      </c>
      <c r="P15" s="44">
        <f t="shared" si="2"/>
        <v>0</v>
      </c>
      <c r="Q15" s="199"/>
      <c r="R15" s="39">
        <v>0</v>
      </c>
      <c r="S15" s="44">
        <f t="shared" si="3"/>
        <v>0</v>
      </c>
      <c r="T15" s="199"/>
      <c r="U15" s="39">
        <v>0</v>
      </c>
      <c r="V15" s="44">
        <f t="shared" si="4"/>
        <v>0</v>
      </c>
      <c r="W15" s="199"/>
      <c r="X15" s="39">
        <v>0</v>
      </c>
      <c r="Y15" s="44">
        <f t="shared" si="5"/>
        <v>0</v>
      </c>
      <c r="Z15" s="199"/>
      <c r="AA15" s="39">
        <v>0</v>
      </c>
      <c r="AB15" s="44">
        <f t="shared" si="6"/>
        <v>0</v>
      </c>
      <c r="AC15" s="199"/>
      <c r="AD15" s="39">
        <v>0</v>
      </c>
      <c r="AE15" s="44">
        <f t="shared" si="7"/>
        <v>0</v>
      </c>
      <c r="AF15" s="199"/>
      <c r="AG15" s="39">
        <v>0</v>
      </c>
      <c r="AH15" s="44">
        <f t="shared" si="8"/>
        <v>0</v>
      </c>
      <c r="AI15" s="199">
        <f t="shared" si="10"/>
        <v>4</v>
      </c>
      <c r="AJ15" s="27"/>
      <c r="AK15" s="27"/>
      <c r="AL15" s="137" t="str">
        <f>"Provide plural notation for the units of measure entered at "&amp;ADDRESS(ROW($AJ$12),COLUMN($AJ$12))&amp;" to "&amp;ADDRESS(ROW($AJ$18),COLUMN($AJ$18))&amp;"."</f>
        <v>Provide plural notation for the units of measure entered at $AJ$12 to $AJ$18.</v>
      </c>
      <c r="AM15" s="199"/>
      <c r="AN15" s="199"/>
    </row>
    <row r="16" spans="3:40">
      <c r="C16" s="28" t="str">
        <f>'MP Calculations'!D43</f>
        <v>1999-00</v>
      </c>
      <c r="D16" s="44">
        <f>IF(LEFT($C16,4)*1&lt;LEFT('General inputs'!$I$16,4)+'General inputs'!$H$38,SUM(G16,J16,M16,P16,S16,V16,Y16,AB16,AE16,AH16),"")</f>
        <v>0</v>
      </c>
      <c r="E16" s="199"/>
      <c r="F16" s="39">
        <v>0</v>
      </c>
      <c r="G16" s="44">
        <f t="shared" si="9"/>
        <v>0</v>
      </c>
      <c r="H16" s="199"/>
      <c r="I16" s="39">
        <v>0</v>
      </c>
      <c r="J16" s="44">
        <f t="shared" si="0"/>
        <v>0</v>
      </c>
      <c r="K16" s="199"/>
      <c r="L16" s="39">
        <v>0</v>
      </c>
      <c r="M16" s="44">
        <f t="shared" si="1"/>
        <v>0</v>
      </c>
      <c r="N16" s="199"/>
      <c r="O16" s="39">
        <v>0</v>
      </c>
      <c r="P16" s="44">
        <f t="shared" si="2"/>
        <v>0</v>
      </c>
      <c r="Q16" s="199"/>
      <c r="R16" s="39">
        <v>0</v>
      </c>
      <c r="S16" s="44">
        <f t="shared" si="3"/>
        <v>0</v>
      </c>
      <c r="T16" s="199"/>
      <c r="U16" s="39">
        <v>0</v>
      </c>
      <c r="V16" s="44">
        <f t="shared" si="4"/>
        <v>0</v>
      </c>
      <c r="W16" s="199"/>
      <c r="X16" s="39">
        <v>0</v>
      </c>
      <c r="Y16" s="44">
        <f t="shared" si="5"/>
        <v>0</v>
      </c>
      <c r="Z16" s="199"/>
      <c r="AA16" s="39">
        <v>0</v>
      </c>
      <c r="AB16" s="44">
        <f t="shared" si="6"/>
        <v>0</v>
      </c>
      <c r="AC16" s="199"/>
      <c r="AD16" s="39">
        <v>0</v>
      </c>
      <c r="AE16" s="44">
        <f t="shared" si="7"/>
        <v>0</v>
      </c>
      <c r="AF16" s="199"/>
      <c r="AG16" s="39">
        <v>0</v>
      </c>
      <c r="AH16" s="44">
        <f t="shared" si="8"/>
        <v>0</v>
      </c>
      <c r="AI16" s="199">
        <f t="shared" si="10"/>
        <v>5</v>
      </c>
      <c r="AJ16" s="142"/>
      <c r="AK16" s="142"/>
      <c r="AL16" s="137" t="s">
        <v>223</v>
      </c>
      <c r="AM16" s="199"/>
      <c r="AN16" s="199"/>
    </row>
    <row r="17" spans="3:37">
      <c r="C17" s="28" t="str">
        <f>'MP Calculations'!D44</f>
        <v>2000-01</v>
      </c>
      <c r="D17" s="44">
        <f>IF(LEFT($C17,4)*1&lt;LEFT('General inputs'!$I$16,4)+'General inputs'!$H$38,SUM(G17,J17,M17,P17,S17,V17,Y17,AB17,AE17,AH17),"")</f>
        <v>0</v>
      </c>
      <c r="E17" s="199"/>
      <c r="F17" s="39">
        <v>0</v>
      </c>
      <c r="G17" s="44">
        <f t="shared" si="9"/>
        <v>0</v>
      </c>
      <c r="H17" s="199"/>
      <c r="I17" s="39">
        <v>0</v>
      </c>
      <c r="J17" s="44">
        <f t="shared" si="0"/>
        <v>0</v>
      </c>
      <c r="K17" s="199"/>
      <c r="L17" s="39">
        <v>0</v>
      </c>
      <c r="M17" s="44">
        <f t="shared" si="1"/>
        <v>0</v>
      </c>
      <c r="N17" s="199"/>
      <c r="O17" s="39">
        <v>0</v>
      </c>
      <c r="P17" s="44">
        <f t="shared" si="2"/>
        <v>0</v>
      </c>
      <c r="Q17" s="199"/>
      <c r="R17" s="39">
        <v>0</v>
      </c>
      <c r="S17" s="44">
        <f t="shared" si="3"/>
        <v>0</v>
      </c>
      <c r="T17" s="199"/>
      <c r="U17" s="39">
        <v>0</v>
      </c>
      <c r="V17" s="44">
        <f t="shared" si="4"/>
        <v>0</v>
      </c>
      <c r="W17" s="199"/>
      <c r="X17" s="39">
        <v>0</v>
      </c>
      <c r="Y17" s="44">
        <f t="shared" si="5"/>
        <v>0</v>
      </c>
      <c r="Z17" s="199"/>
      <c r="AA17" s="39">
        <v>0</v>
      </c>
      <c r="AB17" s="44">
        <f t="shared" si="6"/>
        <v>0</v>
      </c>
      <c r="AC17" s="199"/>
      <c r="AD17" s="39">
        <v>0</v>
      </c>
      <c r="AE17" s="44">
        <f t="shared" si="7"/>
        <v>0</v>
      </c>
      <c r="AF17" s="199"/>
      <c r="AG17" s="39">
        <v>0</v>
      </c>
      <c r="AH17" s="44">
        <f t="shared" si="8"/>
        <v>0</v>
      </c>
      <c r="AI17" s="199">
        <f t="shared" si="10"/>
        <v>6</v>
      </c>
      <c r="AJ17" s="27"/>
      <c r="AK17" s="27"/>
    </row>
    <row r="18" spans="3:37">
      <c r="C18" s="28" t="str">
        <f>'MP Calculations'!D45</f>
        <v>2001-02</v>
      </c>
      <c r="D18" s="44">
        <f>IF(LEFT($C18,4)*1&lt;LEFT('General inputs'!$I$16,4)+'General inputs'!$H$38,SUM(G18,J18,M18,P18,S18,V18,Y18,AB18,AE18,AH18),"")</f>
        <v>0</v>
      </c>
      <c r="E18" s="199"/>
      <c r="F18" s="39">
        <v>0</v>
      </c>
      <c r="G18" s="44">
        <f t="shared" si="9"/>
        <v>0</v>
      </c>
      <c r="H18" s="199"/>
      <c r="I18" s="39">
        <v>0</v>
      </c>
      <c r="J18" s="44">
        <f t="shared" si="0"/>
        <v>0</v>
      </c>
      <c r="K18" s="199"/>
      <c r="L18" s="39">
        <v>0</v>
      </c>
      <c r="M18" s="44">
        <f t="shared" si="1"/>
        <v>0</v>
      </c>
      <c r="N18" s="199"/>
      <c r="O18" s="39">
        <v>0</v>
      </c>
      <c r="P18" s="44">
        <f t="shared" si="2"/>
        <v>0</v>
      </c>
      <c r="Q18" s="199"/>
      <c r="R18" s="39">
        <v>0</v>
      </c>
      <c r="S18" s="44">
        <f t="shared" si="3"/>
        <v>0</v>
      </c>
      <c r="T18" s="199"/>
      <c r="U18" s="39">
        <v>0</v>
      </c>
      <c r="V18" s="44">
        <f t="shared" si="4"/>
        <v>0</v>
      </c>
      <c r="W18" s="199"/>
      <c r="X18" s="39">
        <v>0</v>
      </c>
      <c r="Y18" s="44">
        <f t="shared" si="5"/>
        <v>0</v>
      </c>
      <c r="Z18" s="199"/>
      <c r="AA18" s="39">
        <v>0</v>
      </c>
      <c r="AB18" s="44">
        <f t="shared" si="6"/>
        <v>0</v>
      </c>
      <c r="AC18" s="199"/>
      <c r="AD18" s="39">
        <v>0</v>
      </c>
      <c r="AE18" s="44">
        <f t="shared" si="7"/>
        <v>0</v>
      </c>
      <c r="AF18" s="199"/>
      <c r="AG18" s="39">
        <v>0</v>
      </c>
      <c r="AH18" s="44">
        <f t="shared" si="8"/>
        <v>0</v>
      </c>
      <c r="AI18" s="199">
        <f t="shared" si="10"/>
        <v>7</v>
      </c>
      <c r="AJ18" s="27"/>
      <c r="AK18" s="27"/>
    </row>
    <row r="19" spans="3:37">
      <c r="C19" s="28" t="str">
        <f>'MP Calculations'!D46</f>
        <v>2002-03</v>
      </c>
      <c r="D19" s="44">
        <f>IF(LEFT($C19,4)*1&lt;LEFT('General inputs'!$I$16,4)+'General inputs'!$H$38,SUM(G19,J19,M19,P19,S19,V19,Y19,AB19,AE19,AH19),"")</f>
        <v>0</v>
      </c>
      <c r="E19" s="199"/>
      <c r="F19" s="39">
        <v>0</v>
      </c>
      <c r="G19" s="44">
        <f t="shared" si="9"/>
        <v>0</v>
      </c>
      <c r="H19" s="199"/>
      <c r="I19" s="39">
        <v>0</v>
      </c>
      <c r="J19" s="44">
        <f t="shared" si="0"/>
        <v>0</v>
      </c>
      <c r="K19" s="199"/>
      <c r="L19" s="39">
        <v>0</v>
      </c>
      <c r="M19" s="44">
        <f>L19*$M$9/$F$6</f>
        <v>0</v>
      </c>
      <c r="N19" s="199"/>
      <c r="O19" s="39">
        <v>0</v>
      </c>
      <c r="P19" s="44">
        <f t="shared" si="2"/>
        <v>0</v>
      </c>
      <c r="Q19" s="199"/>
      <c r="R19" s="39">
        <v>0</v>
      </c>
      <c r="S19" s="44">
        <f t="shared" si="3"/>
        <v>0</v>
      </c>
      <c r="T19" s="199"/>
      <c r="U19" s="39">
        <v>0</v>
      </c>
      <c r="V19" s="44">
        <f t="shared" si="4"/>
        <v>0</v>
      </c>
      <c r="W19" s="199"/>
      <c r="X19" s="39">
        <v>0</v>
      </c>
      <c r="Y19" s="44">
        <f t="shared" si="5"/>
        <v>0</v>
      </c>
      <c r="Z19" s="199"/>
      <c r="AA19" s="39">
        <v>0</v>
      </c>
      <c r="AB19" s="44">
        <f t="shared" si="6"/>
        <v>0</v>
      </c>
      <c r="AC19" s="199"/>
      <c r="AD19" s="39">
        <v>0</v>
      </c>
      <c r="AE19" s="44">
        <f t="shared" si="7"/>
        <v>0</v>
      </c>
      <c r="AF19" s="199"/>
      <c r="AG19" s="39">
        <v>0</v>
      </c>
      <c r="AH19" s="44">
        <f t="shared" si="8"/>
        <v>0</v>
      </c>
      <c r="AI19" s="199"/>
      <c r="AJ19" s="106" t="str">
        <f>"add alternatives at "&amp;ADDRESS(ROW(AJ18),COLUMN(AJ18))&amp;":"&amp;ADDRESS(ROW(AJ23),COLUMN(AJ23))</f>
        <v>add alternatives at $AJ$18:$AJ$23</v>
      </c>
      <c r="AK19" s="31"/>
    </row>
    <row r="20" spans="3:37">
      <c r="C20" s="28" t="str">
        <f>'MP Calculations'!D47</f>
        <v>2003-04</v>
      </c>
      <c r="D20" s="44">
        <f>IF(LEFT($C20,4)*1&lt;LEFT('General inputs'!$I$16,4)+'General inputs'!$H$38,SUM(G20,J20,M20,P20,S20,V20,Y20,AB20,AE20,AH20),"")</f>
        <v>0</v>
      </c>
      <c r="E20" s="199"/>
      <c r="F20" s="39">
        <v>0</v>
      </c>
      <c r="G20" s="44">
        <f t="shared" si="9"/>
        <v>0</v>
      </c>
      <c r="H20" s="199"/>
      <c r="I20" s="39">
        <v>0</v>
      </c>
      <c r="J20" s="44">
        <f t="shared" si="0"/>
        <v>0</v>
      </c>
      <c r="K20" s="199"/>
      <c r="L20" s="39">
        <v>0</v>
      </c>
      <c r="M20" s="44">
        <f t="shared" si="1"/>
        <v>0</v>
      </c>
      <c r="N20" s="199"/>
      <c r="O20" s="39">
        <v>0</v>
      </c>
      <c r="P20" s="44">
        <f t="shared" si="2"/>
        <v>0</v>
      </c>
      <c r="Q20" s="199"/>
      <c r="R20" s="39">
        <v>0</v>
      </c>
      <c r="S20" s="44">
        <f t="shared" si="3"/>
        <v>0</v>
      </c>
      <c r="T20" s="199"/>
      <c r="U20" s="39">
        <v>0</v>
      </c>
      <c r="V20" s="44">
        <f t="shared" si="4"/>
        <v>0</v>
      </c>
      <c r="W20" s="199"/>
      <c r="X20" s="39">
        <v>0</v>
      </c>
      <c r="Y20" s="44">
        <f t="shared" si="5"/>
        <v>0</v>
      </c>
      <c r="Z20" s="199"/>
      <c r="AA20" s="39">
        <v>0</v>
      </c>
      <c r="AB20" s="44">
        <f t="shared" si="6"/>
        <v>0</v>
      </c>
      <c r="AC20" s="199"/>
      <c r="AD20" s="39">
        <v>0</v>
      </c>
      <c r="AE20" s="44">
        <f t="shared" si="7"/>
        <v>0</v>
      </c>
      <c r="AF20" s="199"/>
      <c r="AG20" s="39">
        <v>0</v>
      </c>
      <c r="AH20" s="44">
        <f t="shared" si="8"/>
        <v>0</v>
      </c>
      <c r="AI20" s="199"/>
      <c r="AJ20" s="199"/>
      <c r="AK20" s="199"/>
    </row>
    <row r="21" spans="3:37">
      <c r="C21" s="28" t="str">
        <f>'MP Calculations'!D48</f>
        <v>2004-05</v>
      </c>
      <c r="D21" s="44"/>
      <c r="E21" s="199"/>
      <c r="F21" s="39">
        <v>0</v>
      </c>
      <c r="G21" s="44">
        <f t="shared" si="9"/>
        <v>0</v>
      </c>
      <c r="H21" s="199"/>
      <c r="I21" s="39">
        <v>0</v>
      </c>
      <c r="J21" s="44">
        <f t="shared" si="0"/>
        <v>0</v>
      </c>
      <c r="K21" s="199"/>
      <c r="L21" s="39">
        <v>1</v>
      </c>
      <c r="M21" s="44">
        <f t="shared" si="1"/>
        <v>100</v>
      </c>
      <c r="N21" s="199"/>
      <c r="O21" s="39">
        <v>0</v>
      </c>
      <c r="P21" s="44">
        <f t="shared" si="2"/>
        <v>0</v>
      </c>
      <c r="Q21" s="199"/>
      <c r="R21" s="39">
        <v>0</v>
      </c>
      <c r="S21" s="44">
        <f t="shared" si="3"/>
        <v>0</v>
      </c>
      <c r="T21" s="199"/>
      <c r="U21" s="39">
        <v>0</v>
      </c>
      <c r="V21" s="44">
        <f t="shared" si="4"/>
        <v>0</v>
      </c>
      <c r="W21" s="199"/>
      <c r="X21" s="39">
        <v>0</v>
      </c>
      <c r="Y21" s="44">
        <f t="shared" si="5"/>
        <v>0</v>
      </c>
      <c r="Z21" s="199"/>
      <c r="AA21" s="39">
        <v>0</v>
      </c>
      <c r="AB21" s="44">
        <f t="shared" si="6"/>
        <v>0</v>
      </c>
      <c r="AC21" s="199"/>
      <c r="AD21" s="39">
        <v>0</v>
      </c>
      <c r="AE21" s="44">
        <f t="shared" si="7"/>
        <v>0</v>
      </c>
      <c r="AF21" s="199"/>
      <c r="AG21" s="39">
        <v>0</v>
      </c>
      <c r="AH21" s="44">
        <f t="shared" si="8"/>
        <v>0</v>
      </c>
      <c r="AI21" s="199"/>
      <c r="AJ21" s="199"/>
      <c r="AK21" s="199"/>
    </row>
    <row r="22" spans="3:37">
      <c r="C22" s="28" t="str">
        <f>'MP Calculations'!D49</f>
        <v>2005-06</v>
      </c>
      <c r="D22" s="44"/>
      <c r="E22" s="199"/>
      <c r="F22" s="39">
        <v>0</v>
      </c>
      <c r="G22" s="44">
        <f t="shared" si="9"/>
        <v>0</v>
      </c>
      <c r="H22" s="199"/>
      <c r="I22" s="39">
        <v>0</v>
      </c>
      <c r="J22" s="44">
        <f t="shared" si="0"/>
        <v>0</v>
      </c>
      <c r="K22" s="199"/>
      <c r="L22" s="39">
        <v>1</v>
      </c>
      <c r="M22" s="44">
        <f t="shared" si="1"/>
        <v>100</v>
      </c>
      <c r="N22" s="199"/>
      <c r="O22" s="39">
        <v>0</v>
      </c>
      <c r="P22" s="44">
        <f t="shared" si="2"/>
        <v>0</v>
      </c>
      <c r="Q22" s="199"/>
      <c r="R22" s="39">
        <v>0</v>
      </c>
      <c r="S22" s="44">
        <f t="shared" si="3"/>
        <v>0</v>
      </c>
      <c r="T22" s="199"/>
      <c r="U22" s="39">
        <v>0</v>
      </c>
      <c r="V22" s="44">
        <f t="shared" si="4"/>
        <v>0</v>
      </c>
      <c r="W22" s="199"/>
      <c r="X22" s="39">
        <v>0</v>
      </c>
      <c r="Y22" s="44">
        <f t="shared" si="5"/>
        <v>0</v>
      </c>
      <c r="Z22" s="199"/>
      <c r="AA22" s="39">
        <v>0</v>
      </c>
      <c r="AB22" s="44">
        <f t="shared" si="6"/>
        <v>0</v>
      </c>
      <c r="AC22" s="199"/>
      <c r="AD22" s="39">
        <v>0</v>
      </c>
      <c r="AE22" s="44">
        <f t="shared" si="7"/>
        <v>0</v>
      </c>
      <c r="AF22" s="199"/>
      <c r="AG22" s="39">
        <v>0</v>
      </c>
      <c r="AH22" s="44">
        <f t="shared" si="8"/>
        <v>0</v>
      </c>
      <c r="AI22" s="199"/>
      <c r="AJ22" s="199"/>
      <c r="AK22" s="199"/>
    </row>
    <row r="23" spans="3:37">
      <c r="C23" s="28" t="str">
        <f>'MP Calculations'!D50</f>
        <v>2006-07</v>
      </c>
      <c r="D23" s="44"/>
      <c r="E23" s="199"/>
      <c r="F23" s="39">
        <v>0</v>
      </c>
      <c r="G23" s="44">
        <f t="shared" si="9"/>
        <v>0</v>
      </c>
      <c r="H23" s="199"/>
      <c r="I23" s="39">
        <v>0</v>
      </c>
      <c r="J23" s="44">
        <f t="shared" si="0"/>
        <v>0</v>
      </c>
      <c r="K23" s="199"/>
      <c r="L23" s="39">
        <v>1</v>
      </c>
      <c r="M23" s="44">
        <f t="shared" si="1"/>
        <v>100</v>
      </c>
      <c r="N23" s="199"/>
      <c r="O23" s="39">
        <v>0</v>
      </c>
      <c r="P23" s="44">
        <f t="shared" si="2"/>
        <v>0</v>
      </c>
      <c r="Q23" s="199"/>
      <c r="R23" s="39">
        <v>0</v>
      </c>
      <c r="S23" s="44">
        <f t="shared" si="3"/>
        <v>0</v>
      </c>
      <c r="T23" s="199"/>
      <c r="U23" s="39">
        <v>0</v>
      </c>
      <c r="V23" s="44">
        <f t="shared" si="4"/>
        <v>0</v>
      </c>
      <c r="W23" s="199"/>
      <c r="X23" s="39">
        <v>0</v>
      </c>
      <c r="Y23" s="44">
        <f t="shared" si="5"/>
        <v>0</v>
      </c>
      <c r="Z23" s="199"/>
      <c r="AA23" s="39">
        <v>0</v>
      </c>
      <c r="AB23" s="44">
        <f t="shared" si="6"/>
        <v>0</v>
      </c>
      <c r="AC23" s="199"/>
      <c r="AD23" s="39">
        <v>0</v>
      </c>
      <c r="AE23" s="44">
        <f t="shared" si="7"/>
        <v>0</v>
      </c>
      <c r="AF23" s="199"/>
      <c r="AG23" s="39">
        <v>0</v>
      </c>
      <c r="AH23" s="44">
        <f t="shared" si="8"/>
        <v>0</v>
      </c>
      <c r="AI23" s="199"/>
      <c r="AJ23" s="199"/>
      <c r="AK23" s="199"/>
    </row>
    <row r="24" spans="3:37">
      <c r="C24" s="28" t="str">
        <f>'MP Calculations'!D51</f>
        <v>2007-08</v>
      </c>
      <c r="D24" s="44"/>
      <c r="E24" s="199"/>
      <c r="F24" s="39">
        <v>0</v>
      </c>
      <c r="G24" s="44">
        <f t="shared" si="9"/>
        <v>0</v>
      </c>
      <c r="H24" s="199"/>
      <c r="I24" s="39">
        <v>0</v>
      </c>
      <c r="J24" s="44">
        <f t="shared" si="0"/>
        <v>0</v>
      </c>
      <c r="K24" s="199"/>
      <c r="L24" s="39">
        <v>1</v>
      </c>
      <c r="M24" s="44">
        <f t="shared" si="1"/>
        <v>100</v>
      </c>
      <c r="N24" s="199"/>
      <c r="O24" s="39">
        <v>0</v>
      </c>
      <c r="P24" s="44">
        <f t="shared" si="2"/>
        <v>0</v>
      </c>
      <c r="Q24" s="199"/>
      <c r="R24" s="39">
        <v>0</v>
      </c>
      <c r="S24" s="44">
        <f t="shared" si="3"/>
        <v>0</v>
      </c>
      <c r="T24" s="199"/>
      <c r="U24" s="39">
        <v>0</v>
      </c>
      <c r="V24" s="44">
        <f t="shared" si="4"/>
        <v>0</v>
      </c>
      <c r="W24" s="199"/>
      <c r="X24" s="39">
        <v>0</v>
      </c>
      <c r="Y24" s="44">
        <f t="shared" si="5"/>
        <v>0</v>
      </c>
      <c r="Z24" s="199"/>
      <c r="AA24" s="39">
        <v>0</v>
      </c>
      <c r="AB24" s="44">
        <f t="shared" si="6"/>
        <v>0</v>
      </c>
      <c r="AC24" s="199"/>
      <c r="AD24" s="39">
        <v>0</v>
      </c>
      <c r="AE24" s="44">
        <f t="shared" si="7"/>
        <v>0</v>
      </c>
      <c r="AF24" s="199"/>
      <c r="AG24" s="39">
        <v>0</v>
      </c>
      <c r="AH24" s="44">
        <f t="shared" si="8"/>
        <v>0</v>
      </c>
      <c r="AI24" s="199"/>
      <c r="AJ24" s="199"/>
      <c r="AK24" s="199"/>
    </row>
    <row r="25" spans="3:37">
      <c r="C25" s="28" t="str">
        <f>'MP Calculations'!D52</f>
        <v>2008-09</v>
      </c>
      <c r="D25" s="44"/>
      <c r="E25" s="199"/>
      <c r="F25" s="39">
        <v>0</v>
      </c>
      <c r="G25" s="44">
        <f t="shared" si="9"/>
        <v>0</v>
      </c>
      <c r="H25" s="199"/>
      <c r="I25" s="39">
        <v>0</v>
      </c>
      <c r="J25" s="44">
        <f t="shared" si="0"/>
        <v>0</v>
      </c>
      <c r="K25" s="199"/>
      <c r="L25" s="39">
        <v>1</v>
      </c>
      <c r="M25" s="44">
        <f t="shared" si="1"/>
        <v>100</v>
      </c>
      <c r="N25" s="199"/>
      <c r="O25" s="39">
        <v>0</v>
      </c>
      <c r="P25" s="44">
        <f t="shared" si="2"/>
        <v>0</v>
      </c>
      <c r="Q25" s="199"/>
      <c r="R25" s="39">
        <v>0</v>
      </c>
      <c r="S25" s="44">
        <f t="shared" si="3"/>
        <v>0</v>
      </c>
      <c r="T25" s="199"/>
      <c r="U25" s="39">
        <v>0</v>
      </c>
      <c r="V25" s="44">
        <f t="shared" si="4"/>
        <v>0</v>
      </c>
      <c r="W25" s="199"/>
      <c r="X25" s="39">
        <v>0</v>
      </c>
      <c r="Y25" s="44">
        <f t="shared" si="5"/>
        <v>0</v>
      </c>
      <c r="Z25" s="199"/>
      <c r="AA25" s="39">
        <v>0</v>
      </c>
      <c r="AB25" s="44">
        <f t="shared" si="6"/>
        <v>0</v>
      </c>
      <c r="AC25" s="199"/>
      <c r="AD25" s="39">
        <v>0</v>
      </c>
      <c r="AE25" s="44">
        <f t="shared" si="7"/>
        <v>0</v>
      </c>
      <c r="AF25" s="199"/>
      <c r="AG25" s="39">
        <v>0</v>
      </c>
      <c r="AH25" s="44">
        <f t="shared" si="8"/>
        <v>0</v>
      </c>
      <c r="AI25" s="199"/>
      <c r="AJ25" s="199"/>
      <c r="AK25" s="199"/>
    </row>
    <row r="26" spans="3:37">
      <c r="C26" s="28" t="str">
        <f>'MP Calculations'!D53</f>
        <v>2009-10</v>
      </c>
      <c r="D26" s="44"/>
      <c r="E26" s="199"/>
      <c r="F26" s="39">
        <v>100</v>
      </c>
      <c r="G26" s="44">
        <f t="shared" si="9"/>
        <v>100</v>
      </c>
      <c r="H26" s="199"/>
      <c r="I26" s="39">
        <v>200</v>
      </c>
      <c r="J26" s="44">
        <f t="shared" si="0"/>
        <v>150</v>
      </c>
      <c r="K26" s="199"/>
      <c r="L26" s="39">
        <v>1</v>
      </c>
      <c r="M26" s="44">
        <f t="shared" si="1"/>
        <v>100</v>
      </c>
      <c r="N26" s="199"/>
      <c r="O26" s="39">
        <v>0</v>
      </c>
      <c r="P26" s="44">
        <f t="shared" si="2"/>
        <v>0</v>
      </c>
      <c r="Q26" s="199"/>
      <c r="R26" s="39">
        <v>0</v>
      </c>
      <c r="S26" s="44">
        <f t="shared" si="3"/>
        <v>0</v>
      </c>
      <c r="T26" s="199"/>
      <c r="U26" s="39">
        <v>0</v>
      </c>
      <c r="V26" s="44">
        <f t="shared" si="4"/>
        <v>0</v>
      </c>
      <c r="W26" s="199"/>
      <c r="X26" s="39">
        <v>0</v>
      </c>
      <c r="Y26" s="44">
        <f t="shared" si="5"/>
        <v>0</v>
      </c>
      <c r="Z26" s="199"/>
      <c r="AA26" s="39">
        <v>0</v>
      </c>
      <c r="AB26" s="44">
        <f t="shared" si="6"/>
        <v>0</v>
      </c>
      <c r="AC26" s="199"/>
      <c r="AD26" s="39">
        <v>0</v>
      </c>
      <c r="AE26" s="44">
        <f t="shared" si="7"/>
        <v>0</v>
      </c>
      <c r="AF26" s="199"/>
      <c r="AG26" s="39">
        <v>0</v>
      </c>
      <c r="AH26" s="44">
        <f t="shared" si="8"/>
        <v>0</v>
      </c>
      <c r="AI26" s="199"/>
      <c r="AJ26" s="199"/>
      <c r="AK26" s="199"/>
    </row>
    <row r="27" spans="3:37">
      <c r="C27" s="28" t="str">
        <f>'MP Calculations'!D54</f>
        <v>2010-11</v>
      </c>
      <c r="D27" s="44"/>
      <c r="E27" s="199"/>
      <c r="F27" s="39">
        <v>100</v>
      </c>
      <c r="G27" s="44">
        <f t="shared" si="9"/>
        <v>100</v>
      </c>
      <c r="H27" s="199"/>
      <c r="I27" s="39">
        <v>200</v>
      </c>
      <c r="J27" s="44">
        <f t="shared" si="0"/>
        <v>150</v>
      </c>
      <c r="K27" s="199"/>
      <c r="L27" s="39">
        <v>0</v>
      </c>
      <c r="M27" s="44">
        <f t="shared" si="1"/>
        <v>0</v>
      </c>
      <c r="N27" s="199"/>
      <c r="O27" s="39">
        <v>0</v>
      </c>
      <c r="P27" s="44">
        <f t="shared" si="2"/>
        <v>0</v>
      </c>
      <c r="Q27" s="199"/>
      <c r="R27" s="39">
        <v>0</v>
      </c>
      <c r="S27" s="44">
        <f t="shared" si="3"/>
        <v>0</v>
      </c>
      <c r="T27" s="199"/>
      <c r="U27" s="39">
        <v>0</v>
      </c>
      <c r="V27" s="44">
        <f t="shared" si="4"/>
        <v>0</v>
      </c>
      <c r="W27" s="199"/>
      <c r="X27" s="39">
        <v>0</v>
      </c>
      <c r="Y27" s="44">
        <f t="shared" si="5"/>
        <v>0</v>
      </c>
      <c r="Z27" s="199"/>
      <c r="AA27" s="39">
        <v>0</v>
      </c>
      <c r="AB27" s="44">
        <f t="shared" si="6"/>
        <v>0</v>
      </c>
      <c r="AC27" s="199"/>
      <c r="AD27" s="39">
        <v>0</v>
      </c>
      <c r="AE27" s="44">
        <f t="shared" si="7"/>
        <v>0</v>
      </c>
      <c r="AF27" s="199"/>
      <c r="AG27" s="39">
        <v>0</v>
      </c>
      <c r="AH27" s="44">
        <f t="shared" si="8"/>
        <v>0</v>
      </c>
      <c r="AI27" s="199"/>
      <c r="AJ27" s="199"/>
      <c r="AK27" s="199"/>
    </row>
    <row r="28" spans="3:37">
      <c r="C28" s="28" t="str">
        <f>'MP Calculations'!D55</f>
        <v>2011-12</v>
      </c>
      <c r="D28" s="44"/>
      <c r="E28" s="199"/>
      <c r="F28" s="39">
        <v>120</v>
      </c>
      <c r="G28" s="44">
        <f t="shared" si="9"/>
        <v>120</v>
      </c>
      <c r="H28" s="199"/>
      <c r="I28" s="39">
        <v>200</v>
      </c>
      <c r="J28" s="44">
        <f t="shared" si="0"/>
        <v>150</v>
      </c>
      <c r="K28" s="199"/>
      <c r="L28" s="39">
        <v>0</v>
      </c>
      <c r="M28" s="44">
        <f t="shared" si="1"/>
        <v>0</v>
      </c>
      <c r="N28" s="199"/>
      <c r="O28" s="39">
        <v>0</v>
      </c>
      <c r="P28" s="44">
        <f t="shared" si="2"/>
        <v>0</v>
      </c>
      <c r="Q28" s="199"/>
      <c r="R28" s="39">
        <v>0</v>
      </c>
      <c r="S28" s="44">
        <f t="shared" si="3"/>
        <v>0</v>
      </c>
      <c r="T28" s="199"/>
      <c r="U28" s="39">
        <v>0</v>
      </c>
      <c r="V28" s="44">
        <f t="shared" si="4"/>
        <v>0</v>
      </c>
      <c r="W28" s="199"/>
      <c r="X28" s="39">
        <v>0</v>
      </c>
      <c r="Y28" s="44">
        <f t="shared" si="5"/>
        <v>0</v>
      </c>
      <c r="Z28" s="199"/>
      <c r="AA28" s="39">
        <v>0</v>
      </c>
      <c r="AB28" s="44">
        <f t="shared" si="6"/>
        <v>0</v>
      </c>
      <c r="AC28" s="199"/>
      <c r="AD28" s="39">
        <v>0</v>
      </c>
      <c r="AE28" s="44">
        <f t="shared" si="7"/>
        <v>0</v>
      </c>
      <c r="AF28" s="199"/>
      <c r="AG28" s="39">
        <v>0</v>
      </c>
      <c r="AH28" s="44">
        <f t="shared" si="8"/>
        <v>0</v>
      </c>
      <c r="AI28" s="199"/>
      <c r="AJ28" s="199"/>
      <c r="AK28" s="199"/>
    </row>
    <row r="29" spans="3:37">
      <c r="C29" s="28" t="str">
        <f>'MP Calculations'!D56</f>
        <v>2012-13</v>
      </c>
      <c r="D29" s="44"/>
      <c r="E29" s="199"/>
      <c r="F29" s="39">
        <v>120</v>
      </c>
      <c r="G29" s="44">
        <f t="shared" si="9"/>
        <v>120</v>
      </c>
      <c r="H29" s="199"/>
      <c r="I29" s="39">
        <v>200</v>
      </c>
      <c r="J29" s="44">
        <f t="shared" si="0"/>
        <v>150</v>
      </c>
      <c r="K29" s="199"/>
      <c r="L29" s="39">
        <v>0</v>
      </c>
      <c r="M29" s="44">
        <f t="shared" si="1"/>
        <v>0</v>
      </c>
      <c r="N29" s="199"/>
      <c r="O29" s="39">
        <v>0</v>
      </c>
      <c r="P29" s="44">
        <f t="shared" si="2"/>
        <v>0</v>
      </c>
      <c r="Q29" s="199"/>
      <c r="R29" s="39">
        <v>0</v>
      </c>
      <c r="S29" s="44">
        <f t="shared" si="3"/>
        <v>0</v>
      </c>
      <c r="T29" s="199"/>
      <c r="U29" s="39">
        <v>0</v>
      </c>
      <c r="V29" s="44">
        <f t="shared" si="4"/>
        <v>0</v>
      </c>
      <c r="W29" s="199"/>
      <c r="X29" s="39">
        <v>0</v>
      </c>
      <c r="Y29" s="44">
        <f t="shared" si="5"/>
        <v>0</v>
      </c>
      <c r="Z29" s="199"/>
      <c r="AA29" s="39">
        <v>0</v>
      </c>
      <c r="AB29" s="44">
        <f t="shared" si="6"/>
        <v>0</v>
      </c>
      <c r="AC29" s="199"/>
      <c r="AD29" s="39">
        <v>0</v>
      </c>
      <c r="AE29" s="44">
        <f t="shared" si="7"/>
        <v>0</v>
      </c>
      <c r="AF29" s="199"/>
      <c r="AG29" s="39">
        <v>0</v>
      </c>
      <c r="AH29" s="44">
        <f t="shared" si="8"/>
        <v>0</v>
      </c>
      <c r="AI29" s="199"/>
      <c r="AJ29" s="199"/>
      <c r="AK29" s="199"/>
    </row>
    <row r="30" spans="3:37">
      <c r="C30" s="28" t="str">
        <f>'MP Calculations'!D57</f>
        <v>2013-14</v>
      </c>
      <c r="D30" s="44"/>
      <c r="E30" s="199"/>
      <c r="F30" s="39">
        <v>120</v>
      </c>
      <c r="G30" s="44">
        <f t="shared" si="9"/>
        <v>120</v>
      </c>
      <c r="H30" s="199"/>
      <c r="I30" s="39">
        <v>200</v>
      </c>
      <c r="J30" s="44">
        <f t="shared" si="0"/>
        <v>150</v>
      </c>
      <c r="K30" s="199"/>
      <c r="L30" s="39">
        <v>0</v>
      </c>
      <c r="M30" s="44">
        <f t="shared" si="1"/>
        <v>0</v>
      </c>
      <c r="N30" s="199"/>
      <c r="O30" s="39">
        <v>0</v>
      </c>
      <c r="P30" s="44">
        <f t="shared" si="2"/>
        <v>0</v>
      </c>
      <c r="Q30" s="199"/>
      <c r="R30" s="39">
        <v>0</v>
      </c>
      <c r="S30" s="44">
        <f t="shared" si="3"/>
        <v>0</v>
      </c>
      <c r="T30" s="199"/>
      <c r="U30" s="39">
        <v>0</v>
      </c>
      <c r="V30" s="44">
        <f t="shared" si="4"/>
        <v>0</v>
      </c>
      <c r="W30" s="199"/>
      <c r="X30" s="39">
        <v>0</v>
      </c>
      <c r="Y30" s="44">
        <f t="shared" si="5"/>
        <v>0</v>
      </c>
      <c r="Z30" s="199"/>
      <c r="AA30" s="39">
        <v>0</v>
      </c>
      <c r="AB30" s="44">
        <f t="shared" si="6"/>
        <v>0</v>
      </c>
      <c r="AC30" s="199"/>
      <c r="AD30" s="39">
        <v>0</v>
      </c>
      <c r="AE30" s="44">
        <f t="shared" si="7"/>
        <v>0</v>
      </c>
      <c r="AF30" s="199"/>
      <c r="AG30" s="39">
        <v>0</v>
      </c>
      <c r="AH30" s="44">
        <f t="shared" si="8"/>
        <v>0</v>
      </c>
      <c r="AI30" s="199"/>
      <c r="AJ30" s="199"/>
      <c r="AK30" s="199"/>
    </row>
    <row r="31" spans="3:37">
      <c r="C31" s="28" t="str">
        <f>'MP Calculations'!D58</f>
        <v>2014-15</v>
      </c>
      <c r="D31" s="44"/>
      <c r="E31" s="199"/>
      <c r="F31" s="39">
        <v>120</v>
      </c>
      <c r="G31" s="44">
        <f t="shared" si="9"/>
        <v>120</v>
      </c>
      <c r="H31" s="199"/>
      <c r="I31" s="39">
        <v>200</v>
      </c>
      <c r="J31" s="44">
        <f t="shared" si="0"/>
        <v>150</v>
      </c>
      <c r="K31" s="199"/>
      <c r="L31" s="39">
        <v>0</v>
      </c>
      <c r="M31" s="44">
        <f t="shared" si="1"/>
        <v>0</v>
      </c>
      <c r="N31" s="199"/>
      <c r="O31" s="39">
        <v>0</v>
      </c>
      <c r="P31" s="44">
        <f t="shared" si="2"/>
        <v>0</v>
      </c>
      <c r="Q31" s="199"/>
      <c r="R31" s="39">
        <v>0</v>
      </c>
      <c r="S31" s="44">
        <f t="shared" si="3"/>
        <v>0</v>
      </c>
      <c r="T31" s="199"/>
      <c r="U31" s="39">
        <v>0</v>
      </c>
      <c r="V31" s="44">
        <f t="shared" si="4"/>
        <v>0</v>
      </c>
      <c r="W31" s="199"/>
      <c r="X31" s="39">
        <v>0</v>
      </c>
      <c r="Y31" s="44">
        <f t="shared" si="5"/>
        <v>0</v>
      </c>
      <c r="Z31" s="199"/>
      <c r="AA31" s="39">
        <v>0</v>
      </c>
      <c r="AB31" s="44">
        <f t="shared" si="6"/>
        <v>0</v>
      </c>
      <c r="AC31" s="199"/>
      <c r="AD31" s="39">
        <v>0</v>
      </c>
      <c r="AE31" s="44">
        <f t="shared" si="7"/>
        <v>0</v>
      </c>
      <c r="AF31" s="199"/>
      <c r="AG31" s="39">
        <v>0</v>
      </c>
      <c r="AH31" s="44">
        <f t="shared" si="8"/>
        <v>0</v>
      </c>
      <c r="AI31" s="199"/>
      <c r="AJ31" s="199"/>
      <c r="AK31" s="199"/>
    </row>
    <row r="32" spans="3:37">
      <c r="C32" s="28" t="str">
        <f>'MP Calculations'!D59</f>
        <v>2015-16</v>
      </c>
      <c r="D32" s="44"/>
      <c r="E32" s="199"/>
      <c r="F32" s="39">
        <v>120</v>
      </c>
      <c r="G32" s="44">
        <f t="shared" si="9"/>
        <v>120</v>
      </c>
      <c r="H32" s="199"/>
      <c r="I32" s="39">
        <v>200</v>
      </c>
      <c r="J32" s="44">
        <f t="shared" si="0"/>
        <v>150</v>
      </c>
      <c r="K32" s="199"/>
      <c r="L32" s="39">
        <v>0</v>
      </c>
      <c r="M32" s="44">
        <f t="shared" si="1"/>
        <v>0</v>
      </c>
      <c r="N32" s="199"/>
      <c r="O32" s="39">
        <v>0</v>
      </c>
      <c r="P32" s="44">
        <f t="shared" si="2"/>
        <v>0</v>
      </c>
      <c r="Q32" s="199"/>
      <c r="R32" s="39">
        <v>0</v>
      </c>
      <c r="S32" s="44">
        <f t="shared" si="3"/>
        <v>0</v>
      </c>
      <c r="T32" s="199"/>
      <c r="U32" s="39">
        <v>0</v>
      </c>
      <c r="V32" s="44">
        <f t="shared" si="4"/>
        <v>0</v>
      </c>
      <c r="W32" s="199"/>
      <c r="X32" s="39">
        <v>0</v>
      </c>
      <c r="Y32" s="44">
        <f t="shared" si="5"/>
        <v>0</v>
      </c>
      <c r="Z32" s="199"/>
      <c r="AA32" s="39">
        <v>0</v>
      </c>
      <c r="AB32" s="44">
        <f t="shared" si="6"/>
        <v>0</v>
      </c>
      <c r="AC32" s="199"/>
      <c r="AD32" s="39">
        <v>0</v>
      </c>
      <c r="AE32" s="44">
        <f t="shared" si="7"/>
        <v>0</v>
      </c>
      <c r="AF32" s="199"/>
      <c r="AG32" s="39">
        <v>0</v>
      </c>
      <c r="AH32" s="44">
        <f t="shared" si="8"/>
        <v>0</v>
      </c>
      <c r="AI32" s="199"/>
      <c r="AJ32" s="199"/>
      <c r="AK32" s="199"/>
    </row>
    <row r="33" spans="3:34">
      <c r="C33" s="28" t="str">
        <f>'MP Calculations'!D60</f>
        <v>2016-17</v>
      </c>
      <c r="D33" s="44"/>
      <c r="E33" s="199"/>
      <c r="F33" s="39">
        <v>120</v>
      </c>
      <c r="G33" s="44">
        <f t="shared" si="9"/>
        <v>120</v>
      </c>
      <c r="H33" s="199"/>
      <c r="I33" s="39">
        <v>200</v>
      </c>
      <c r="J33" s="44">
        <f t="shared" si="0"/>
        <v>150</v>
      </c>
      <c r="K33" s="199"/>
      <c r="L33" s="39">
        <v>0</v>
      </c>
      <c r="M33" s="44">
        <f t="shared" si="1"/>
        <v>0</v>
      </c>
      <c r="N33" s="199"/>
      <c r="O33" s="39">
        <v>0</v>
      </c>
      <c r="P33" s="44">
        <f t="shared" si="2"/>
        <v>0</v>
      </c>
      <c r="Q33" s="199"/>
      <c r="R33" s="39">
        <v>0</v>
      </c>
      <c r="S33" s="44">
        <f t="shared" si="3"/>
        <v>0</v>
      </c>
      <c r="T33" s="199"/>
      <c r="U33" s="39">
        <v>0</v>
      </c>
      <c r="V33" s="44">
        <f t="shared" si="4"/>
        <v>0</v>
      </c>
      <c r="W33" s="199"/>
      <c r="X33" s="39">
        <v>0</v>
      </c>
      <c r="Y33" s="44">
        <f t="shared" si="5"/>
        <v>0</v>
      </c>
      <c r="Z33" s="199"/>
      <c r="AA33" s="39">
        <v>0</v>
      </c>
      <c r="AB33" s="44">
        <f t="shared" si="6"/>
        <v>0</v>
      </c>
      <c r="AC33" s="199"/>
      <c r="AD33" s="39">
        <v>0</v>
      </c>
      <c r="AE33" s="44">
        <f t="shared" si="7"/>
        <v>0</v>
      </c>
      <c r="AF33" s="199"/>
      <c r="AG33" s="39">
        <v>0</v>
      </c>
      <c r="AH33" s="44">
        <f t="shared" si="8"/>
        <v>0</v>
      </c>
    </row>
    <row r="34" spans="3:34">
      <c r="C34" s="28" t="str">
        <f>'MP Calculations'!D61</f>
        <v>2017-18</v>
      </c>
      <c r="D34" s="44"/>
      <c r="E34" s="199"/>
      <c r="F34" s="39">
        <v>120</v>
      </c>
      <c r="G34" s="44">
        <f t="shared" si="9"/>
        <v>120</v>
      </c>
      <c r="H34" s="199"/>
      <c r="I34" s="39">
        <v>200</v>
      </c>
      <c r="J34" s="44">
        <f t="shared" si="0"/>
        <v>150</v>
      </c>
      <c r="K34" s="199"/>
      <c r="L34" s="39">
        <v>0</v>
      </c>
      <c r="M34" s="44">
        <f t="shared" si="1"/>
        <v>0</v>
      </c>
      <c r="N34" s="199"/>
      <c r="O34" s="39">
        <v>0</v>
      </c>
      <c r="P34" s="44">
        <f t="shared" si="2"/>
        <v>0</v>
      </c>
      <c r="Q34" s="199"/>
      <c r="R34" s="39">
        <v>0</v>
      </c>
      <c r="S34" s="44">
        <f t="shared" si="3"/>
        <v>0</v>
      </c>
      <c r="T34" s="199"/>
      <c r="U34" s="39">
        <v>0</v>
      </c>
      <c r="V34" s="44">
        <f t="shared" si="4"/>
        <v>0</v>
      </c>
      <c r="W34" s="199"/>
      <c r="X34" s="39">
        <v>0</v>
      </c>
      <c r="Y34" s="44">
        <f t="shared" si="5"/>
        <v>0</v>
      </c>
      <c r="Z34" s="199"/>
      <c r="AA34" s="39">
        <v>0</v>
      </c>
      <c r="AB34" s="44">
        <f t="shared" si="6"/>
        <v>0</v>
      </c>
      <c r="AC34" s="199"/>
      <c r="AD34" s="39">
        <v>0</v>
      </c>
      <c r="AE34" s="44">
        <f t="shared" si="7"/>
        <v>0</v>
      </c>
      <c r="AF34" s="199"/>
      <c r="AG34" s="39">
        <v>0</v>
      </c>
      <c r="AH34" s="44">
        <f t="shared" si="8"/>
        <v>0</v>
      </c>
    </row>
    <row r="35" spans="3:34">
      <c r="C35" s="28" t="str">
        <f>'MP Calculations'!D62</f>
        <v>2018-19</v>
      </c>
      <c r="D35" s="44"/>
      <c r="E35" s="199"/>
      <c r="F35" s="39">
        <v>120</v>
      </c>
      <c r="G35" s="44">
        <f t="shared" si="9"/>
        <v>120</v>
      </c>
      <c r="H35" s="199"/>
      <c r="I35" s="39">
        <v>200</v>
      </c>
      <c r="J35" s="44">
        <f t="shared" si="0"/>
        <v>150</v>
      </c>
      <c r="K35" s="199"/>
      <c r="L35" s="39">
        <v>0</v>
      </c>
      <c r="M35" s="44">
        <f t="shared" si="1"/>
        <v>0</v>
      </c>
      <c r="N35" s="199"/>
      <c r="O35" s="39">
        <v>0</v>
      </c>
      <c r="P35" s="44">
        <f t="shared" si="2"/>
        <v>0</v>
      </c>
      <c r="Q35" s="199"/>
      <c r="R35" s="39">
        <v>0</v>
      </c>
      <c r="S35" s="44">
        <f t="shared" si="3"/>
        <v>0</v>
      </c>
      <c r="T35" s="199"/>
      <c r="U35" s="39">
        <v>0</v>
      </c>
      <c r="V35" s="44">
        <f t="shared" si="4"/>
        <v>0</v>
      </c>
      <c r="W35" s="199"/>
      <c r="X35" s="39">
        <v>0</v>
      </c>
      <c r="Y35" s="44">
        <f t="shared" si="5"/>
        <v>0</v>
      </c>
      <c r="Z35" s="199"/>
      <c r="AA35" s="39">
        <v>0</v>
      </c>
      <c r="AB35" s="44">
        <f t="shared" si="6"/>
        <v>0</v>
      </c>
      <c r="AC35" s="199"/>
      <c r="AD35" s="39">
        <v>0</v>
      </c>
      <c r="AE35" s="44">
        <f t="shared" si="7"/>
        <v>0</v>
      </c>
      <c r="AF35" s="199"/>
      <c r="AG35" s="39">
        <v>0</v>
      </c>
      <c r="AH35" s="44">
        <f t="shared" si="8"/>
        <v>0</v>
      </c>
    </row>
    <row r="36" spans="3:34">
      <c r="C36" s="28" t="str">
        <f>'MP Calculations'!D63</f>
        <v>2019-20</v>
      </c>
      <c r="D36" s="44"/>
      <c r="E36" s="199"/>
      <c r="F36" s="39">
        <v>120</v>
      </c>
      <c r="G36" s="44">
        <f t="shared" si="9"/>
        <v>120</v>
      </c>
      <c r="H36" s="199"/>
      <c r="I36" s="39">
        <v>200</v>
      </c>
      <c r="J36" s="44">
        <f t="shared" si="0"/>
        <v>150</v>
      </c>
      <c r="K36" s="199"/>
      <c r="L36" s="39">
        <v>0</v>
      </c>
      <c r="M36" s="44">
        <f t="shared" si="1"/>
        <v>0</v>
      </c>
      <c r="N36" s="199"/>
      <c r="O36" s="39">
        <v>0</v>
      </c>
      <c r="P36" s="44">
        <f t="shared" si="2"/>
        <v>0</v>
      </c>
      <c r="Q36" s="199"/>
      <c r="R36" s="39">
        <v>0</v>
      </c>
      <c r="S36" s="44">
        <f t="shared" si="3"/>
        <v>0</v>
      </c>
      <c r="T36" s="199"/>
      <c r="U36" s="39">
        <v>0</v>
      </c>
      <c r="V36" s="44">
        <f t="shared" si="4"/>
        <v>0</v>
      </c>
      <c r="W36" s="199"/>
      <c r="X36" s="39">
        <v>0</v>
      </c>
      <c r="Y36" s="44">
        <f t="shared" si="5"/>
        <v>0</v>
      </c>
      <c r="Z36" s="199"/>
      <c r="AA36" s="39">
        <v>0</v>
      </c>
      <c r="AB36" s="44">
        <f t="shared" si="6"/>
        <v>0</v>
      </c>
      <c r="AC36" s="199"/>
      <c r="AD36" s="39">
        <v>0</v>
      </c>
      <c r="AE36" s="44">
        <f t="shared" si="7"/>
        <v>0</v>
      </c>
      <c r="AF36" s="199"/>
      <c r="AG36" s="39">
        <v>0</v>
      </c>
      <c r="AH36" s="44">
        <f t="shared" si="8"/>
        <v>0</v>
      </c>
    </row>
    <row r="37" spans="3:34">
      <c r="C37" s="28" t="str">
        <f>'MP Calculations'!D64</f>
        <v>2020-21</v>
      </c>
      <c r="D37" s="44"/>
      <c r="E37" s="199"/>
      <c r="F37" s="39">
        <v>120</v>
      </c>
      <c r="G37" s="44">
        <f t="shared" si="9"/>
        <v>120</v>
      </c>
      <c r="H37" s="199"/>
      <c r="I37" s="39">
        <v>200</v>
      </c>
      <c r="J37" s="44">
        <f t="shared" si="0"/>
        <v>150</v>
      </c>
      <c r="K37" s="199"/>
      <c r="L37" s="39">
        <v>0</v>
      </c>
      <c r="M37" s="44">
        <f t="shared" si="1"/>
        <v>0</v>
      </c>
      <c r="N37" s="199"/>
      <c r="O37" s="39">
        <v>0</v>
      </c>
      <c r="P37" s="44">
        <f t="shared" si="2"/>
        <v>0</v>
      </c>
      <c r="Q37" s="199"/>
      <c r="R37" s="39">
        <v>0</v>
      </c>
      <c r="S37" s="44">
        <f t="shared" si="3"/>
        <v>0</v>
      </c>
      <c r="T37" s="199"/>
      <c r="U37" s="39">
        <v>0</v>
      </c>
      <c r="V37" s="44">
        <f t="shared" si="4"/>
        <v>0</v>
      </c>
      <c r="W37" s="199"/>
      <c r="X37" s="39">
        <v>0</v>
      </c>
      <c r="Y37" s="44">
        <f t="shared" si="5"/>
        <v>0</v>
      </c>
      <c r="Z37" s="199"/>
      <c r="AA37" s="39">
        <v>0</v>
      </c>
      <c r="AB37" s="44">
        <f t="shared" si="6"/>
        <v>0</v>
      </c>
      <c r="AC37" s="199"/>
      <c r="AD37" s="39">
        <v>0</v>
      </c>
      <c r="AE37" s="44">
        <f t="shared" si="7"/>
        <v>0</v>
      </c>
      <c r="AF37" s="199"/>
      <c r="AG37" s="39">
        <v>0</v>
      </c>
      <c r="AH37" s="44">
        <f t="shared" si="8"/>
        <v>0</v>
      </c>
    </row>
    <row r="38" spans="3:34">
      <c r="C38" s="28" t="str">
        <f>'MP Calculations'!D65</f>
        <v>2021-22</v>
      </c>
      <c r="D38" s="44"/>
      <c r="E38" s="199"/>
      <c r="F38" s="39">
        <v>120</v>
      </c>
      <c r="G38" s="44">
        <f t="shared" si="9"/>
        <v>120</v>
      </c>
      <c r="H38" s="199"/>
      <c r="I38" s="39">
        <v>200</v>
      </c>
      <c r="J38" s="44">
        <f t="shared" si="0"/>
        <v>150</v>
      </c>
      <c r="K38" s="199"/>
      <c r="L38" s="39">
        <v>0</v>
      </c>
      <c r="M38" s="44">
        <f t="shared" si="1"/>
        <v>0</v>
      </c>
      <c r="N38" s="199"/>
      <c r="O38" s="39">
        <v>0</v>
      </c>
      <c r="P38" s="44">
        <f t="shared" si="2"/>
        <v>0</v>
      </c>
      <c r="Q38" s="199"/>
      <c r="R38" s="39">
        <v>0</v>
      </c>
      <c r="S38" s="44">
        <f t="shared" si="3"/>
        <v>0</v>
      </c>
      <c r="T38" s="199"/>
      <c r="U38" s="39">
        <v>0</v>
      </c>
      <c r="V38" s="44">
        <f t="shared" si="4"/>
        <v>0</v>
      </c>
      <c r="W38" s="199"/>
      <c r="X38" s="39">
        <v>0</v>
      </c>
      <c r="Y38" s="44">
        <f t="shared" si="5"/>
        <v>0</v>
      </c>
      <c r="Z38" s="199"/>
      <c r="AA38" s="39">
        <v>0</v>
      </c>
      <c r="AB38" s="44">
        <f t="shared" si="6"/>
        <v>0</v>
      </c>
      <c r="AC38" s="199"/>
      <c r="AD38" s="39">
        <v>0</v>
      </c>
      <c r="AE38" s="44">
        <f t="shared" si="7"/>
        <v>0</v>
      </c>
      <c r="AF38" s="199"/>
      <c r="AG38" s="39">
        <v>0</v>
      </c>
      <c r="AH38" s="44">
        <f t="shared" si="8"/>
        <v>0</v>
      </c>
    </row>
    <row r="39" spans="3:34">
      <c r="C39" s="28" t="str">
        <f>'MP Calculations'!D66</f>
        <v>2022-23</v>
      </c>
      <c r="D39" s="44"/>
      <c r="E39" s="199"/>
      <c r="F39" s="39">
        <v>120</v>
      </c>
      <c r="G39" s="44">
        <f t="shared" si="9"/>
        <v>120</v>
      </c>
      <c r="H39" s="199"/>
      <c r="I39" s="39">
        <v>200</v>
      </c>
      <c r="J39" s="44">
        <f t="shared" si="0"/>
        <v>150</v>
      </c>
      <c r="K39" s="199"/>
      <c r="L39" s="39">
        <v>0</v>
      </c>
      <c r="M39" s="44">
        <f t="shared" si="1"/>
        <v>0</v>
      </c>
      <c r="N39" s="199"/>
      <c r="O39" s="39">
        <v>0</v>
      </c>
      <c r="P39" s="44">
        <f t="shared" si="2"/>
        <v>0</v>
      </c>
      <c r="Q39" s="199"/>
      <c r="R39" s="39">
        <v>0</v>
      </c>
      <c r="S39" s="44">
        <f t="shared" si="3"/>
        <v>0</v>
      </c>
      <c r="T39" s="199"/>
      <c r="U39" s="39">
        <v>0</v>
      </c>
      <c r="V39" s="44">
        <f t="shared" si="4"/>
        <v>0</v>
      </c>
      <c r="W39" s="199"/>
      <c r="X39" s="39">
        <v>0</v>
      </c>
      <c r="Y39" s="44">
        <f t="shared" si="5"/>
        <v>0</v>
      </c>
      <c r="Z39" s="199"/>
      <c r="AA39" s="39">
        <v>0</v>
      </c>
      <c r="AB39" s="44">
        <f t="shared" si="6"/>
        <v>0</v>
      </c>
      <c r="AC39" s="199"/>
      <c r="AD39" s="39">
        <v>0</v>
      </c>
      <c r="AE39" s="44">
        <f t="shared" si="7"/>
        <v>0</v>
      </c>
      <c r="AF39" s="199"/>
      <c r="AG39" s="39">
        <v>0</v>
      </c>
      <c r="AH39" s="44">
        <f t="shared" si="8"/>
        <v>0</v>
      </c>
    </row>
    <row r="40" spans="3:34">
      <c r="C40" s="28" t="str">
        <f>'MP Calculations'!D67</f>
        <v>2023-24</v>
      </c>
      <c r="D40" s="44"/>
      <c r="E40" s="199"/>
      <c r="F40" s="39">
        <v>120</v>
      </c>
      <c r="G40" s="44">
        <f t="shared" si="9"/>
        <v>120</v>
      </c>
      <c r="H40" s="199"/>
      <c r="I40" s="39">
        <v>200</v>
      </c>
      <c r="J40" s="44">
        <f t="shared" si="0"/>
        <v>150</v>
      </c>
      <c r="K40" s="199"/>
      <c r="L40" s="39">
        <v>0</v>
      </c>
      <c r="M40" s="44">
        <f t="shared" si="1"/>
        <v>0</v>
      </c>
      <c r="N40" s="199"/>
      <c r="O40" s="39">
        <v>2</v>
      </c>
      <c r="P40" s="44">
        <f t="shared" si="2"/>
        <v>50</v>
      </c>
      <c r="Q40" s="199"/>
      <c r="R40" s="39">
        <v>2</v>
      </c>
      <c r="S40" s="44">
        <f t="shared" si="3"/>
        <v>200</v>
      </c>
      <c r="T40" s="199"/>
      <c r="U40" s="39">
        <v>0</v>
      </c>
      <c r="V40" s="44">
        <f t="shared" si="4"/>
        <v>0</v>
      </c>
      <c r="W40" s="199"/>
      <c r="X40" s="39">
        <v>0</v>
      </c>
      <c r="Y40" s="44">
        <f t="shared" si="5"/>
        <v>0</v>
      </c>
      <c r="Z40" s="199"/>
      <c r="AA40" s="39">
        <v>0</v>
      </c>
      <c r="AB40" s="44">
        <f t="shared" si="6"/>
        <v>0</v>
      </c>
      <c r="AC40" s="199"/>
      <c r="AD40" s="39">
        <v>0</v>
      </c>
      <c r="AE40" s="44">
        <f t="shared" si="7"/>
        <v>0</v>
      </c>
      <c r="AF40" s="199"/>
      <c r="AG40" s="39">
        <v>0</v>
      </c>
      <c r="AH40" s="44">
        <f t="shared" si="8"/>
        <v>0</v>
      </c>
    </row>
    <row r="41" spans="3:34">
      <c r="C41" s="28" t="str">
        <f>'MP Calculations'!D68</f>
        <v>2024-25</v>
      </c>
      <c r="D41" s="44" cm="1">
        <f t="array" ref="D41:D76">TRANSPOSE('[1]Scenario 4 - Output'!$H$137:$AQ$137)</f>
        <v>161.06018462447136</v>
      </c>
      <c r="E41" s="199"/>
      <c r="F41" s="39">
        <v>120</v>
      </c>
      <c r="G41" s="44">
        <f t="shared" si="9"/>
        <v>120</v>
      </c>
      <c r="H41" s="199"/>
      <c r="I41" s="39">
        <v>200</v>
      </c>
      <c r="J41" s="44">
        <f t="shared" si="0"/>
        <v>150</v>
      </c>
      <c r="K41" s="199"/>
      <c r="L41" s="39">
        <v>0</v>
      </c>
      <c r="M41" s="44">
        <f t="shared" si="1"/>
        <v>0</v>
      </c>
      <c r="N41" s="199"/>
      <c r="O41" s="39">
        <v>2</v>
      </c>
      <c r="P41" s="44">
        <f t="shared" si="2"/>
        <v>50</v>
      </c>
      <c r="Q41" s="199"/>
      <c r="R41" s="39">
        <v>2</v>
      </c>
      <c r="S41" s="44">
        <f t="shared" si="3"/>
        <v>200</v>
      </c>
      <c r="T41" s="199"/>
      <c r="U41" s="39">
        <v>0</v>
      </c>
      <c r="V41" s="44">
        <f t="shared" si="4"/>
        <v>0</v>
      </c>
      <c r="W41" s="199"/>
      <c r="X41" s="39">
        <v>0</v>
      </c>
      <c r="Y41" s="44">
        <f t="shared" si="5"/>
        <v>0</v>
      </c>
      <c r="Z41" s="199"/>
      <c r="AA41" s="39">
        <v>0</v>
      </c>
      <c r="AB41" s="44">
        <f t="shared" si="6"/>
        <v>0</v>
      </c>
      <c r="AC41" s="199"/>
      <c r="AD41" s="39">
        <v>0</v>
      </c>
      <c r="AE41" s="44">
        <f t="shared" si="7"/>
        <v>0</v>
      </c>
      <c r="AF41" s="199"/>
      <c r="AG41" s="39">
        <v>0</v>
      </c>
      <c r="AH41" s="44">
        <f t="shared" si="8"/>
        <v>0</v>
      </c>
    </row>
    <row r="42" spans="3:34">
      <c r="C42" s="28" t="str">
        <f>'MP Calculations'!D69</f>
        <v>2025-26</v>
      </c>
      <c r="D42" s="44">
        <v>1741.1542177971482</v>
      </c>
      <c r="E42" s="199"/>
      <c r="F42" s="39">
        <v>120</v>
      </c>
      <c r="G42" s="44">
        <f t="shared" si="9"/>
        <v>120</v>
      </c>
      <c r="H42" s="199"/>
      <c r="I42" s="39">
        <v>200</v>
      </c>
      <c r="J42" s="44">
        <f t="shared" si="0"/>
        <v>150</v>
      </c>
      <c r="K42" s="199"/>
      <c r="L42" s="39">
        <v>0</v>
      </c>
      <c r="M42" s="44">
        <f t="shared" si="1"/>
        <v>0</v>
      </c>
      <c r="N42" s="199"/>
      <c r="O42" s="39">
        <v>2</v>
      </c>
      <c r="P42" s="44">
        <f t="shared" si="2"/>
        <v>50</v>
      </c>
      <c r="Q42" s="199"/>
      <c r="R42" s="39">
        <v>2</v>
      </c>
      <c r="S42" s="44">
        <f t="shared" si="3"/>
        <v>200</v>
      </c>
      <c r="T42" s="199"/>
      <c r="U42" s="39">
        <v>0</v>
      </c>
      <c r="V42" s="44">
        <f t="shared" si="4"/>
        <v>0</v>
      </c>
      <c r="W42" s="199"/>
      <c r="X42" s="39">
        <v>0</v>
      </c>
      <c r="Y42" s="44">
        <f t="shared" si="5"/>
        <v>0</v>
      </c>
      <c r="Z42" s="199"/>
      <c r="AA42" s="39">
        <v>0</v>
      </c>
      <c r="AB42" s="44">
        <f t="shared" si="6"/>
        <v>0</v>
      </c>
      <c r="AC42" s="199"/>
      <c r="AD42" s="39">
        <v>0</v>
      </c>
      <c r="AE42" s="44">
        <f t="shared" si="7"/>
        <v>0</v>
      </c>
      <c r="AF42" s="199"/>
      <c r="AG42" s="39">
        <v>0</v>
      </c>
      <c r="AH42" s="44">
        <f t="shared" si="8"/>
        <v>0</v>
      </c>
    </row>
    <row r="43" spans="3:34">
      <c r="C43" s="28" t="str">
        <f>'MP Calculations'!D70</f>
        <v>2026-27</v>
      </c>
      <c r="D43" s="44">
        <v>2368.7295461653066</v>
      </c>
      <c r="E43" s="199"/>
      <c r="F43" s="39">
        <v>120</v>
      </c>
      <c r="G43" s="44">
        <f t="shared" si="9"/>
        <v>120</v>
      </c>
      <c r="H43" s="199"/>
      <c r="I43" s="39">
        <v>200</v>
      </c>
      <c r="J43" s="44">
        <f t="shared" si="0"/>
        <v>150</v>
      </c>
      <c r="K43" s="199"/>
      <c r="L43" s="39">
        <v>0</v>
      </c>
      <c r="M43" s="44">
        <f t="shared" si="1"/>
        <v>0</v>
      </c>
      <c r="N43" s="199"/>
      <c r="O43" s="39">
        <v>2</v>
      </c>
      <c r="P43" s="44">
        <f t="shared" si="2"/>
        <v>50</v>
      </c>
      <c r="Q43" s="199"/>
      <c r="R43" s="39">
        <v>2</v>
      </c>
      <c r="S43" s="44">
        <f t="shared" si="3"/>
        <v>200</v>
      </c>
      <c r="T43" s="199"/>
      <c r="U43" s="39">
        <v>0</v>
      </c>
      <c r="V43" s="44">
        <f t="shared" si="4"/>
        <v>0</v>
      </c>
      <c r="W43" s="199"/>
      <c r="X43" s="39">
        <v>0</v>
      </c>
      <c r="Y43" s="44">
        <f t="shared" si="5"/>
        <v>0</v>
      </c>
      <c r="Z43" s="199"/>
      <c r="AA43" s="39">
        <v>0</v>
      </c>
      <c r="AB43" s="44">
        <f t="shared" si="6"/>
        <v>0</v>
      </c>
      <c r="AC43" s="199"/>
      <c r="AD43" s="39">
        <v>0</v>
      </c>
      <c r="AE43" s="44">
        <f t="shared" si="7"/>
        <v>0</v>
      </c>
      <c r="AF43" s="199"/>
      <c r="AG43" s="39">
        <v>0</v>
      </c>
      <c r="AH43" s="44">
        <f t="shared" si="8"/>
        <v>0</v>
      </c>
    </row>
    <row r="44" spans="3:34">
      <c r="C44" s="28" t="str">
        <f>'MP Calculations'!D71</f>
        <v>2027-28</v>
      </c>
      <c r="D44" s="44">
        <v>792.27683516532306</v>
      </c>
      <c r="E44" s="199"/>
      <c r="F44" s="39">
        <v>120</v>
      </c>
      <c r="G44" s="44">
        <f t="shared" ref="G44:G75" si="11">F44*$G$9/$F$6</f>
        <v>120</v>
      </c>
      <c r="H44" s="199"/>
      <c r="I44" s="39">
        <v>200</v>
      </c>
      <c r="J44" s="44">
        <f t="shared" ref="J44:J75" si="12">I44*$J$9/$F$6</f>
        <v>150</v>
      </c>
      <c r="K44" s="199"/>
      <c r="L44" s="39">
        <v>0</v>
      </c>
      <c r="M44" s="44">
        <f t="shared" ref="M44:M75" si="13">L44*$M$9/$F$6</f>
        <v>0</v>
      </c>
      <c r="N44" s="199"/>
      <c r="O44" s="39">
        <v>2</v>
      </c>
      <c r="P44" s="44">
        <f t="shared" ref="P44:P75" si="14">O44*$P$9/$F$6</f>
        <v>50</v>
      </c>
      <c r="Q44" s="199"/>
      <c r="R44" s="39">
        <v>2</v>
      </c>
      <c r="S44" s="44">
        <f t="shared" ref="S44:S75" si="15">R44*$S$9/$F$6</f>
        <v>200</v>
      </c>
      <c r="T44" s="199"/>
      <c r="U44" s="39">
        <v>0</v>
      </c>
      <c r="V44" s="44">
        <f t="shared" ref="V44:V75" si="16">U44*$V$9/$F$6</f>
        <v>0</v>
      </c>
      <c r="W44" s="199"/>
      <c r="X44" s="39">
        <v>0</v>
      </c>
      <c r="Y44" s="44">
        <f t="shared" ref="Y44:Y75" si="17">X44*$Y$9/$F$6</f>
        <v>0</v>
      </c>
      <c r="Z44" s="199"/>
      <c r="AA44" s="39">
        <v>0</v>
      </c>
      <c r="AB44" s="44">
        <f t="shared" ref="AB44:AB75" si="18">AA44*$AB$9/$F$6</f>
        <v>0</v>
      </c>
      <c r="AC44" s="199"/>
      <c r="AD44" s="39">
        <v>0</v>
      </c>
      <c r="AE44" s="44">
        <f t="shared" ref="AE44:AE75" si="19">AD44*$AE$9/$F$6</f>
        <v>0</v>
      </c>
      <c r="AF44" s="199"/>
      <c r="AG44" s="39">
        <v>0</v>
      </c>
      <c r="AH44" s="44">
        <f t="shared" ref="AH44:AH75" si="20">AG44*$AH$9/$F$6</f>
        <v>0</v>
      </c>
    </row>
    <row r="45" spans="3:34">
      <c r="C45" s="28" t="str">
        <f>'MP Calculations'!D72</f>
        <v>2028-29</v>
      </c>
      <c r="D45" s="44">
        <v>574.8350819239422</v>
      </c>
      <c r="E45" s="199"/>
      <c r="F45" s="39">
        <v>120</v>
      </c>
      <c r="G45" s="44">
        <f t="shared" si="11"/>
        <v>120</v>
      </c>
      <c r="H45" s="199"/>
      <c r="I45" s="39">
        <v>200</v>
      </c>
      <c r="J45" s="44">
        <f t="shared" si="12"/>
        <v>150</v>
      </c>
      <c r="K45" s="199"/>
      <c r="L45" s="39">
        <v>0</v>
      </c>
      <c r="M45" s="44">
        <f t="shared" si="13"/>
        <v>0</v>
      </c>
      <c r="N45" s="199"/>
      <c r="O45" s="39">
        <v>2</v>
      </c>
      <c r="P45" s="44">
        <f t="shared" si="14"/>
        <v>50</v>
      </c>
      <c r="Q45" s="199"/>
      <c r="R45" s="39">
        <v>2</v>
      </c>
      <c r="S45" s="44">
        <f t="shared" si="15"/>
        <v>200</v>
      </c>
      <c r="T45" s="199"/>
      <c r="U45" s="39">
        <v>0</v>
      </c>
      <c r="V45" s="44">
        <f t="shared" si="16"/>
        <v>0</v>
      </c>
      <c r="W45" s="199"/>
      <c r="X45" s="39">
        <v>0</v>
      </c>
      <c r="Y45" s="44">
        <f t="shared" si="17"/>
        <v>0</v>
      </c>
      <c r="Z45" s="199"/>
      <c r="AA45" s="39">
        <v>0</v>
      </c>
      <c r="AB45" s="44">
        <f t="shared" si="18"/>
        <v>0</v>
      </c>
      <c r="AC45" s="199"/>
      <c r="AD45" s="39">
        <v>0</v>
      </c>
      <c r="AE45" s="44">
        <f t="shared" si="19"/>
        <v>0</v>
      </c>
      <c r="AF45" s="199"/>
      <c r="AG45" s="39">
        <v>0</v>
      </c>
      <c r="AH45" s="44">
        <f t="shared" si="20"/>
        <v>0</v>
      </c>
    </row>
    <row r="46" spans="3:34">
      <c r="C46" s="28" t="str">
        <f>'MP Calculations'!D73</f>
        <v>2029-30</v>
      </c>
      <c r="D46" s="44">
        <v>301.41269850608933</v>
      </c>
      <c r="E46" s="199"/>
      <c r="F46" s="39">
        <v>120</v>
      </c>
      <c r="G46" s="44">
        <f t="shared" si="11"/>
        <v>120</v>
      </c>
      <c r="H46" s="199"/>
      <c r="I46" s="39">
        <v>200</v>
      </c>
      <c r="J46" s="44">
        <f t="shared" si="12"/>
        <v>150</v>
      </c>
      <c r="K46" s="199"/>
      <c r="L46" s="39">
        <v>0</v>
      </c>
      <c r="M46" s="44">
        <f t="shared" si="13"/>
        <v>0</v>
      </c>
      <c r="N46" s="199"/>
      <c r="O46" s="39">
        <v>2</v>
      </c>
      <c r="P46" s="44">
        <f t="shared" si="14"/>
        <v>50</v>
      </c>
      <c r="Q46" s="199"/>
      <c r="R46" s="39">
        <v>2</v>
      </c>
      <c r="S46" s="44">
        <f t="shared" si="15"/>
        <v>200</v>
      </c>
      <c r="T46" s="199"/>
      <c r="U46" s="39">
        <v>0</v>
      </c>
      <c r="V46" s="44">
        <f t="shared" si="16"/>
        <v>0</v>
      </c>
      <c r="W46" s="199"/>
      <c r="X46" s="39">
        <v>0</v>
      </c>
      <c r="Y46" s="44">
        <f t="shared" si="17"/>
        <v>0</v>
      </c>
      <c r="Z46" s="199"/>
      <c r="AA46" s="39">
        <v>0</v>
      </c>
      <c r="AB46" s="44">
        <f t="shared" si="18"/>
        <v>0</v>
      </c>
      <c r="AC46" s="199"/>
      <c r="AD46" s="39">
        <v>0</v>
      </c>
      <c r="AE46" s="44">
        <f t="shared" si="19"/>
        <v>0</v>
      </c>
      <c r="AF46" s="199"/>
      <c r="AG46" s="39">
        <v>0</v>
      </c>
      <c r="AH46" s="44">
        <f t="shared" si="20"/>
        <v>0</v>
      </c>
    </row>
    <row r="47" spans="3:34">
      <c r="C47" s="28" t="str">
        <f>'MP Calculations'!D74</f>
        <v>2030-31</v>
      </c>
      <c r="D47" s="44">
        <v>54.360438310343852</v>
      </c>
      <c r="E47" s="199"/>
      <c r="F47" s="39">
        <v>120</v>
      </c>
      <c r="G47" s="44">
        <f t="shared" si="11"/>
        <v>120</v>
      </c>
      <c r="H47" s="199"/>
      <c r="I47" s="39">
        <v>200</v>
      </c>
      <c r="J47" s="44">
        <f t="shared" si="12"/>
        <v>150</v>
      </c>
      <c r="K47" s="199"/>
      <c r="L47" s="39">
        <v>0</v>
      </c>
      <c r="M47" s="44">
        <f t="shared" si="13"/>
        <v>0</v>
      </c>
      <c r="N47" s="199"/>
      <c r="O47" s="39">
        <v>2</v>
      </c>
      <c r="P47" s="44">
        <f t="shared" si="14"/>
        <v>50</v>
      </c>
      <c r="Q47" s="199"/>
      <c r="R47" s="39">
        <v>2</v>
      </c>
      <c r="S47" s="44">
        <f t="shared" si="15"/>
        <v>200</v>
      </c>
      <c r="T47" s="199"/>
      <c r="U47" s="39">
        <v>0</v>
      </c>
      <c r="V47" s="44">
        <f t="shared" si="16"/>
        <v>0</v>
      </c>
      <c r="W47" s="199"/>
      <c r="X47" s="39">
        <v>0</v>
      </c>
      <c r="Y47" s="44">
        <f t="shared" si="17"/>
        <v>0</v>
      </c>
      <c r="Z47" s="199"/>
      <c r="AA47" s="39">
        <v>0</v>
      </c>
      <c r="AB47" s="44">
        <f t="shared" si="18"/>
        <v>0</v>
      </c>
      <c r="AC47" s="199"/>
      <c r="AD47" s="39">
        <v>0</v>
      </c>
      <c r="AE47" s="44">
        <f t="shared" si="19"/>
        <v>0</v>
      </c>
      <c r="AF47" s="199"/>
      <c r="AG47" s="39">
        <v>0</v>
      </c>
      <c r="AH47" s="44">
        <f t="shared" si="20"/>
        <v>0</v>
      </c>
    </row>
    <row r="48" spans="3:34">
      <c r="C48" s="28" t="str">
        <f>'MP Calculations'!D75</f>
        <v>2031-32</v>
      </c>
      <c r="D48" s="44">
        <v>54.360438310343852</v>
      </c>
      <c r="E48" s="199"/>
      <c r="F48" s="39">
        <v>120</v>
      </c>
      <c r="G48" s="44">
        <f t="shared" si="11"/>
        <v>120</v>
      </c>
      <c r="H48" s="199"/>
      <c r="I48" s="39">
        <v>200</v>
      </c>
      <c r="J48" s="44">
        <f t="shared" si="12"/>
        <v>150</v>
      </c>
      <c r="K48" s="199"/>
      <c r="L48" s="39">
        <v>0</v>
      </c>
      <c r="M48" s="44">
        <f t="shared" si="13"/>
        <v>0</v>
      </c>
      <c r="N48" s="199"/>
      <c r="O48" s="39">
        <v>2</v>
      </c>
      <c r="P48" s="44">
        <f t="shared" si="14"/>
        <v>50</v>
      </c>
      <c r="Q48" s="199"/>
      <c r="R48" s="39">
        <v>2</v>
      </c>
      <c r="S48" s="44">
        <f t="shared" si="15"/>
        <v>200</v>
      </c>
      <c r="T48" s="199"/>
      <c r="U48" s="39">
        <v>0</v>
      </c>
      <c r="V48" s="44">
        <f t="shared" si="16"/>
        <v>0</v>
      </c>
      <c r="W48" s="199"/>
      <c r="X48" s="39">
        <v>0</v>
      </c>
      <c r="Y48" s="44">
        <f t="shared" si="17"/>
        <v>0</v>
      </c>
      <c r="Z48" s="199"/>
      <c r="AA48" s="39">
        <v>0</v>
      </c>
      <c r="AB48" s="44">
        <f t="shared" si="18"/>
        <v>0</v>
      </c>
      <c r="AC48" s="199"/>
      <c r="AD48" s="39">
        <v>0</v>
      </c>
      <c r="AE48" s="44">
        <f t="shared" si="19"/>
        <v>0</v>
      </c>
      <c r="AF48" s="199"/>
      <c r="AG48" s="39">
        <v>0</v>
      </c>
      <c r="AH48" s="44">
        <f t="shared" si="20"/>
        <v>0</v>
      </c>
    </row>
    <row r="49" spans="3:34">
      <c r="C49" s="28" t="str">
        <f>'MP Calculations'!D76</f>
        <v>2032-33</v>
      </c>
      <c r="D49" s="44">
        <v>54.360438310343852</v>
      </c>
      <c r="E49" s="199"/>
      <c r="F49" s="39">
        <v>120</v>
      </c>
      <c r="G49" s="44">
        <f t="shared" si="11"/>
        <v>120</v>
      </c>
      <c r="H49" s="199"/>
      <c r="I49" s="39">
        <v>200</v>
      </c>
      <c r="J49" s="44">
        <f t="shared" si="12"/>
        <v>150</v>
      </c>
      <c r="K49" s="199"/>
      <c r="L49" s="39">
        <v>0</v>
      </c>
      <c r="M49" s="44">
        <f t="shared" si="13"/>
        <v>0</v>
      </c>
      <c r="N49" s="199"/>
      <c r="O49" s="39">
        <v>0</v>
      </c>
      <c r="P49" s="44">
        <f t="shared" si="14"/>
        <v>0</v>
      </c>
      <c r="Q49" s="199"/>
      <c r="R49" s="39">
        <v>0</v>
      </c>
      <c r="S49" s="44">
        <f t="shared" si="15"/>
        <v>0</v>
      </c>
      <c r="T49" s="199"/>
      <c r="U49" s="39">
        <v>0</v>
      </c>
      <c r="V49" s="44">
        <f t="shared" si="16"/>
        <v>0</v>
      </c>
      <c r="W49" s="199"/>
      <c r="X49" s="39">
        <v>0</v>
      </c>
      <c r="Y49" s="44">
        <f t="shared" si="17"/>
        <v>0</v>
      </c>
      <c r="Z49" s="199"/>
      <c r="AA49" s="39">
        <v>0</v>
      </c>
      <c r="AB49" s="44">
        <f t="shared" si="18"/>
        <v>0</v>
      </c>
      <c r="AC49" s="199"/>
      <c r="AD49" s="39">
        <v>0</v>
      </c>
      <c r="AE49" s="44">
        <f t="shared" si="19"/>
        <v>0</v>
      </c>
      <c r="AF49" s="199"/>
      <c r="AG49" s="39">
        <v>0</v>
      </c>
      <c r="AH49" s="44">
        <f t="shared" si="20"/>
        <v>0</v>
      </c>
    </row>
    <row r="50" spans="3:34">
      <c r="C50" s="28" t="str">
        <f>'MP Calculations'!D77</f>
        <v>2033-34</v>
      </c>
      <c r="D50" s="44">
        <v>326.16262986206493</v>
      </c>
      <c r="E50" s="199"/>
      <c r="F50" s="39">
        <v>120</v>
      </c>
      <c r="G50" s="44">
        <f t="shared" si="11"/>
        <v>120</v>
      </c>
      <c r="H50" s="199"/>
      <c r="I50" s="39">
        <v>200</v>
      </c>
      <c r="J50" s="44">
        <f t="shared" si="12"/>
        <v>150</v>
      </c>
      <c r="K50" s="199"/>
      <c r="L50" s="39">
        <v>0</v>
      </c>
      <c r="M50" s="44">
        <f t="shared" si="13"/>
        <v>0</v>
      </c>
      <c r="N50" s="199"/>
      <c r="O50" s="39">
        <v>0</v>
      </c>
      <c r="P50" s="44">
        <f t="shared" si="14"/>
        <v>0</v>
      </c>
      <c r="Q50" s="199"/>
      <c r="R50" s="39">
        <v>0</v>
      </c>
      <c r="S50" s="44">
        <f t="shared" si="15"/>
        <v>0</v>
      </c>
      <c r="T50" s="199"/>
      <c r="U50" s="39">
        <v>0</v>
      </c>
      <c r="V50" s="44">
        <f t="shared" si="16"/>
        <v>0</v>
      </c>
      <c r="W50" s="199"/>
      <c r="X50" s="39">
        <v>0</v>
      </c>
      <c r="Y50" s="44">
        <f t="shared" si="17"/>
        <v>0</v>
      </c>
      <c r="Z50" s="199"/>
      <c r="AA50" s="39">
        <v>0</v>
      </c>
      <c r="AB50" s="44">
        <f t="shared" si="18"/>
        <v>0</v>
      </c>
      <c r="AC50" s="199"/>
      <c r="AD50" s="39">
        <v>0</v>
      </c>
      <c r="AE50" s="44">
        <f t="shared" si="19"/>
        <v>0</v>
      </c>
      <c r="AF50" s="199"/>
      <c r="AG50" s="39">
        <v>0</v>
      </c>
      <c r="AH50" s="44">
        <f t="shared" si="20"/>
        <v>0</v>
      </c>
    </row>
    <row r="51" spans="3:34">
      <c r="C51" s="28" t="str">
        <f>'MP Calculations'!D78</f>
        <v>2034-35</v>
      </c>
      <c r="D51" s="44">
        <v>761.04613634481939</v>
      </c>
      <c r="E51" s="199"/>
      <c r="F51" s="39">
        <v>120</v>
      </c>
      <c r="G51" s="44">
        <f t="shared" si="11"/>
        <v>120</v>
      </c>
      <c r="H51" s="199"/>
      <c r="I51" s="39">
        <v>200</v>
      </c>
      <c r="J51" s="44">
        <f t="shared" si="12"/>
        <v>150</v>
      </c>
      <c r="K51" s="199"/>
      <c r="L51" s="39">
        <v>0</v>
      </c>
      <c r="M51" s="44">
        <f t="shared" si="13"/>
        <v>0</v>
      </c>
      <c r="N51" s="199"/>
      <c r="O51" s="39">
        <v>0</v>
      </c>
      <c r="P51" s="44">
        <f t="shared" si="14"/>
        <v>0</v>
      </c>
      <c r="Q51" s="199"/>
      <c r="R51" s="39">
        <v>0</v>
      </c>
      <c r="S51" s="44">
        <f t="shared" si="15"/>
        <v>0</v>
      </c>
      <c r="T51" s="199"/>
      <c r="U51" s="39">
        <v>0</v>
      </c>
      <c r="V51" s="44">
        <f t="shared" si="16"/>
        <v>0</v>
      </c>
      <c r="W51" s="199"/>
      <c r="X51" s="39">
        <v>0</v>
      </c>
      <c r="Y51" s="44">
        <f t="shared" si="17"/>
        <v>0</v>
      </c>
      <c r="Z51" s="199"/>
      <c r="AA51" s="39">
        <v>0</v>
      </c>
      <c r="AB51" s="44">
        <f t="shared" si="18"/>
        <v>0</v>
      </c>
      <c r="AC51" s="199"/>
      <c r="AD51" s="39">
        <v>0</v>
      </c>
      <c r="AE51" s="44">
        <f t="shared" si="19"/>
        <v>0</v>
      </c>
      <c r="AF51" s="199"/>
      <c r="AG51" s="39">
        <v>0</v>
      </c>
      <c r="AH51" s="44">
        <f t="shared" si="20"/>
        <v>0</v>
      </c>
    </row>
    <row r="52" spans="3:34">
      <c r="C52" s="28" t="str">
        <f>'MP Calculations'!D79</f>
        <v>2035-36</v>
      </c>
      <c r="D52" s="44">
        <v>0</v>
      </c>
      <c r="E52" s="199"/>
      <c r="F52" s="39">
        <v>120</v>
      </c>
      <c r="G52" s="44">
        <f t="shared" si="11"/>
        <v>120</v>
      </c>
      <c r="H52" s="199"/>
      <c r="I52" s="39">
        <v>200</v>
      </c>
      <c r="J52" s="44">
        <f t="shared" si="12"/>
        <v>150</v>
      </c>
      <c r="K52" s="199"/>
      <c r="L52" s="39">
        <v>0</v>
      </c>
      <c r="M52" s="44">
        <f t="shared" si="13"/>
        <v>0</v>
      </c>
      <c r="N52" s="199"/>
      <c r="O52" s="39">
        <v>0</v>
      </c>
      <c r="P52" s="44">
        <f t="shared" si="14"/>
        <v>0</v>
      </c>
      <c r="Q52" s="199"/>
      <c r="R52" s="39">
        <v>0</v>
      </c>
      <c r="S52" s="44">
        <f t="shared" si="15"/>
        <v>0</v>
      </c>
      <c r="T52" s="199"/>
      <c r="U52" s="39">
        <v>0</v>
      </c>
      <c r="V52" s="44">
        <f t="shared" si="16"/>
        <v>0</v>
      </c>
      <c r="W52" s="199"/>
      <c r="X52" s="39">
        <v>0</v>
      </c>
      <c r="Y52" s="44">
        <f t="shared" si="17"/>
        <v>0</v>
      </c>
      <c r="Z52" s="199"/>
      <c r="AA52" s="39">
        <v>0</v>
      </c>
      <c r="AB52" s="44">
        <f t="shared" si="18"/>
        <v>0</v>
      </c>
      <c r="AC52" s="199"/>
      <c r="AD52" s="39">
        <v>0</v>
      </c>
      <c r="AE52" s="44">
        <f t="shared" si="19"/>
        <v>0</v>
      </c>
      <c r="AF52" s="199"/>
      <c r="AG52" s="39">
        <v>0</v>
      </c>
      <c r="AH52" s="44">
        <f t="shared" si="20"/>
        <v>0</v>
      </c>
    </row>
    <row r="53" spans="3:34">
      <c r="C53" s="28" t="str">
        <f>'MP Calculations'!D80</f>
        <v>2036-37</v>
      </c>
      <c r="D53" s="44">
        <v>0</v>
      </c>
      <c r="E53" s="199"/>
      <c r="F53" s="39">
        <v>120</v>
      </c>
      <c r="G53" s="44">
        <f t="shared" si="11"/>
        <v>120</v>
      </c>
      <c r="H53" s="199"/>
      <c r="I53" s="39">
        <v>200</v>
      </c>
      <c r="J53" s="44">
        <f t="shared" si="12"/>
        <v>150</v>
      </c>
      <c r="K53" s="199"/>
      <c r="L53" s="39">
        <v>0</v>
      </c>
      <c r="M53" s="44">
        <f t="shared" si="13"/>
        <v>0</v>
      </c>
      <c r="N53" s="199"/>
      <c r="O53" s="39">
        <v>0</v>
      </c>
      <c r="P53" s="44">
        <f t="shared" si="14"/>
        <v>0</v>
      </c>
      <c r="Q53" s="199"/>
      <c r="R53" s="39">
        <v>0</v>
      </c>
      <c r="S53" s="44">
        <f t="shared" si="15"/>
        <v>0</v>
      </c>
      <c r="T53" s="199"/>
      <c r="U53" s="39">
        <v>0</v>
      </c>
      <c r="V53" s="44">
        <f t="shared" si="16"/>
        <v>0</v>
      </c>
      <c r="W53" s="199"/>
      <c r="X53" s="39">
        <v>0</v>
      </c>
      <c r="Y53" s="44">
        <f t="shared" si="17"/>
        <v>0</v>
      </c>
      <c r="Z53" s="199"/>
      <c r="AA53" s="39">
        <v>0</v>
      </c>
      <c r="AB53" s="44">
        <f t="shared" si="18"/>
        <v>0</v>
      </c>
      <c r="AC53" s="199"/>
      <c r="AD53" s="39">
        <v>0</v>
      </c>
      <c r="AE53" s="44">
        <f t="shared" si="19"/>
        <v>0</v>
      </c>
      <c r="AF53" s="199"/>
      <c r="AG53" s="39">
        <v>0</v>
      </c>
      <c r="AH53" s="44">
        <f t="shared" si="20"/>
        <v>0</v>
      </c>
    </row>
    <row r="54" spans="3:34">
      <c r="C54" s="28" t="str">
        <f>'MP Calculations'!D81</f>
        <v>2037-38</v>
      </c>
      <c r="D54" s="44">
        <v>0</v>
      </c>
      <c r="E54" s="199"/>
      <c r="F54" s="39">
        <v>120</v>
      </c>
      <c r="G54" s="44">
        <f t="shared" si="11"/>
        <v>120</v>
      </c>
      <c r="H54" s="199"/>
      <c r="I54" s="39">
        <v>200</v>
      </c>
      <c r="J54" s="44">
        <f t="shared" si="12"/>
        <v>150</v>
      </c>
      <c r="K54" s="199"/>
      <c r="L54" s="39">
        <v>0</v>
      </c>
      <c r="M54" s="44">
        <f t="shared" si="13"/>
        <v>0</v>
      </c>
      <c r="N54" s="199"/>
      <c r="O54" s="39">
        <v>0</v>
      </c>
      <c r="P54" s="44">
        <f t="shared" si="14"/>
        <v>0</v>
      </c>
      <c r="Q54" s="199"/>
      <c r="R54" s="39">
        <v>0</v>
      </c>
      <c r="S54" s="44">
        <f t="shared" si="15"/>
        <v>0</v>
      </c>
      <c r="T54" s="199"/>
      <c r="U54" s="39">
        <v>0</v>
      </c>
      <c r="V54" s="44">
        <f t="shared" si="16"/>
        <v>0</v>
      </c>
      <c r="W54" s="199"/>
      <c r="X54" s="39">
        <v>0</v>
      </c>
      <c r="Y54" s="44">
        <f t="shared" si="17"/>
        <v>0</v>
      </c>
      <c r="Z54" s="199"/>
      <c r="AA54" s="39">
        <v>0</v>
      </c>
      <c r="AB54" s="44">
        <f t="shared" si="18"/>
        <v>0</v>
      </c>
      <c r="AC54" s="199"/>
      <c r="AD54" s="39">
        <v>0</v>
      </c>
      <c r="AE54" s="44">
        <f t="shared" si="19"/>
        <v>0</v>
      </c>
      <c r="AF54" s="199"/>
      <c r="AG54" s="39">
        <v>0</v>
      </c>
      <c r="AH54" s="44">
        <f t="shared" si="20"/>
        <v>0</v>
      </c>
    </row>
    <row r="55" spans="3:34">
      <c r="C55" s="28" t="str">
        <f>'MP Calculations'!D82</f>
        <v>2038-39</v>
      </c>
      <c r="D55" s="44">
        <v>0</v>
      </c>
      <c r="E55" s="199"/>
      <c r="F55" s="39">
        <v>120</v>
      </c>
      <c r="G55" s="44">
        <f t="shared" si="11"/>
        <v>120</v>
      </c>
      <c r="H55" s="199"/>
      <c r="I55" s="39">
        <v>200</v>
      </c>
      <c r="J55" s="44">
        <f t="shared" si="12"/>
        <v>150</v>
      </c>
      <c r="K55" s="199"/>
      <c r="L55" s="39">
        <v>0</v>
      </c>
      <c r="M55" s="44">
        <f t="shared" si="13"/>
        <v>0</v>
      </c>
      <c r="N55" s="199"/>
      <c r="O55" s="39">
        <v>0</v>
      </c>
      <c r="P55" s="44">
        <f t="shared" si="14"/>
        <v>0</v>
      </c>
      <c r="Q55" s="199"/>
      <c r="R55" s="39">
        <v>0</v>
      </c>
      <c r="S55" s="44">
        <f t="shared" si="15"/>
        <v>0</v>
      </c>
      <c r="T55" s="199"/>
      <c r="U55" s="39">
        <v>0</v>
      </c>
      <c r="V55" s="44">
        <f t="shared" si="16"/>
        <v>0</v>
      </c>
      <c r="W55" s="199"/>
      <c r="X55" s="39">
        <v>0</v>
      </c>
      <c r="Y55" s="44">
        <f t="shared" si="17"/>
        <v>0</v>
      </c>
      <c r="Z55" s="199"/>
      <c r="AA55" s="39">
        <v>0</v>
      </c>
      <c r="AB55" s="44">
        <f t="shared" si="18"/>
        <v>0</v>
      </c>
      <c r="AC55" s="199"/>
      <c r="AD55" s="39">
        <v>0</v>
      </c>
      <c r="AE55" s="44">
        <f t="shared" si="19"/>
        <v>0</v>
      </c>
      <c r="AF55" s="199"/>
      <c r="AG55" s="39">
        <v>0</v>
      </c>
      <c r="AH55" s="44">
        <f t="shared" si="20"/>
        <v>0</v>
      </c>
    </row>
    <row r="56" spans="3:34">
      <c r="C56" s="28" t="str">
        <f>'MP Calculations'!D83</f>
        <v>2039-40</v>
      </c>
      <c r="D56" s="44">
        <v>0</v>
      </c>
      <c r="E56" s="199"/>
      <c r="F56" s="39">
        <v>120</v>
      </c>
      <c r="G56" s="44">
        <f t="shared" si="11"/>
        <v>120</v>
      </c>
      <c r="H56" s="199"/>
      <c r="I56" s="39">
        <v>200</v>
      </c>
      <c r="J56" s="44">
        <f t="shared" si="12"/>
        <v>150</v>
      </c>
      <c r="K56" s="199"/>
      <c r="L56" s="39">
        <v>0</v>
      </c>
      <c r="M56" s="44">
        <f t="shared" si="13"/>
        <v>0</v>
      </c>
      <c r="N56" s="199"/>
      <c r="O56" s="39">
        <v>0</v>
      </c>
      <c r="P56" s="44">
        <f t="shared" si="14"/>
        <v>0</v>
      </c>
      <c r="Q56" s="199"/>
      <c r="R56" s="39">
        <v>0</v>
      </c>
      <c r="S56" s="44">
        <f t="shared" si="15"/>
        <v>0</v>
      </c>
      <c r="T56" s="199"/>
      <c r="U56" s="39">
        <v>0</v>
      </c>
      <c r="V56" s="44">
        <f t="shared" si="16"/>
        <v>0</v>
      </c>
      <c r="W56" s="199"/>
      <c r="X56" s="39">
        <v>0</v>
      </c>
      <c r="Y56" s="44">
        <f t="shared" si="17"/>
        <v>0</v>
      </c>
      <c r="Z56" s="199"/>
      <c r="AA56" s="39">
        <v>0</v>
      </c>
      <c r="AB56" s="44">
        <f t="shared" si="18"/>
        <v>0</v>
      </c>
      <c r="AC56" s="199"/>
      <c r="AD56" s="39">
        <v>0</v>
      </c>
      <c r="AE56" s="44">
        <f t="shared" si="19"/>
        <v>0</v>
      </c>
      <c r="AF56" s="199"/>
      <c r="AG56" s="39">
        <v>0</v>
      </c>
      <c r="AH56" s="44">
        <f t="shared" si="20"/>
        <v>0</v>
      </c>
    </row>
    <row r="57" spans="3:34">
      <c r="C57" s="28" t="str">
        <f>'MP Calculations'!D84</f>
        <v>2040-41</v>
      </c>
      <c r="D57" s="44">
        <v>0</v>
      </c>
      <c r="E57" s="199"/>
      <c r="F57" s="39">
        <v>120</v>
      </c>
      <c r="G57" s="44">
        <f t="shared" si="11"/>
        <v>120</v>
      </c>
      <c r="H57" s="199"/>
      <c r="I57" s="39">
        <v>200</v>
      </c>
      <c r="J57" s="44">
        <f t="shared" si="12"/>
        <v>150</v>
      </c>
      <c r="K57" s="199"/>
      <c r="L57" s="39">
        <v>0</v>
      </c>
      <c r="M57" s="44">
        <f t="shared" si="13"/>
        <v>0</v>
      </c>
      <c r="N57" s="199"/>
      <c r="O57" s="39">
        <v>0</v>
      </c>
      <c r="P57" s="44">
        <f t="shared" si="14"/>
        <v>0</v>
      </c>
      <c r="Q57" s="199"/>
      <c r="R57" s="39">
        <v>0</v>
      </c>
      <c r="S57" s="44">
        <f t="shared" si="15"/>
        <v>0</v>
      </c>
      <c r="T57" s="199"/>
      <c r="U57" s="39">
        <v>0</v>
      </c>
      <c r="V57" s="44">
        <f t="shared" si="16"/>
        <v>0</v>
      </c>
      <c r="W57" s="199"/>
      <c r="X57" s="39">
        <v>0</v>
      </c>
      <c r="Y57" s="44">
        <f t="shared" si="17"/>
        <v>0</v>
      </c>
      <c r="Z57" s="199"/>
      <c r="AA57" s="39">
        <v>0</v>
      </c>
      <c r="AB57" s="44">
        <f t="shared" si="18"/>
        <v>0</v>
      </c>
      <c r="AC57" s="199"/>
      <c r="AD57" s="39">
        <v>0</v>
      </c>
      <c r="AE57" s="44">
        <f t="shared" si="19"/>
        <v>0</v>
      </c>
      <c r="AF57" s="199"/>
      <c r="AG57" s="39">
        <v>0</v>
      </c>
      <c r="AH57" s="44">
        <f t="shared" si="20"/>
        <v>0</v>
      </c>
    </row>
    <row r="58" spans="3:34">
      <c r="C58" s="28" t="str">
        <f>'MP Calculations'!D85</f>
        <v>2041-42</v>
      </c>
      <c r="D58" s="44">
        <v>0</v>
      </c>
      <c r="E58" s="199"/>
      <c r="F58" s="39">
        <v>120</v>
      </c>
      <c r="G58" s="44">
        <f t="shared" si="11"/>
        <v>120</v>
      </c>
      <c r="H58" s="199"/>
      <c r="I58" s="39">
        <v>200</v>
      </c>
      <c r="J58" s="44">
        <f t="shared" si="12"/>
        <v>150</v>
      </c>
      <c r="K58" s="199"/>
      <c r="L58" s="39">
        <v>0</v>
      </c>
      <c r="M58" s="44">
        <f t="shared" si="13"/>
        <v>0</v>
      </c>
      <c r="N58" s="199"/>
      <c r="O58" s="39">
        <v>0</v>
      </c>
      <c r="P58" s="44">
        <f t="shared" si="14"/>
        <v>0</v>
      </c>
      <c r="Q58" s="199"/>
      <c r="R58" s="39">
        <v>0</v>
      </c>
      <c r="S58" s="44">
        <f t="shared" si="15"/>
        <v>0</v>
      </c>
      <c r="T58" s="199"/>
      <c r="U58" s="39">
        <v>0</v>
      </c>
      <c r="V58" s="44">
        <f t="shared" si="16"/>
        <v>0</v>
      </c>
      <c r="W58" s="199"/>
      <c r="X58" s="39">
        <v>0</v>
      </c>
      <c r="Y58" s="44">
        <f t="shared" si="17"/>
        <v>0</v>
      </c>
      <c r="Z58" s="199"/>
      <c r="AA58" s="39">
        <v>0</v>
      </c>
      <c r="AB58" s="44">
        <f t="shared" si="18"/>
        <v>0</v>
      </c>
      <c r="AC58" s="199"/>
      <c r="AD58" s="39">
        <v>0</v>
      </c>
      <c r="AE58" s="44">
        <f t="shared" si="19"/>
        <v>0</v>
      </c>
      <c r="AF58" s="199"/>
      <c r="AG58" s="39">
        <v>0</v>
      </c>
      <c r="AH58" s="44">
        <f t="shared" si="20"/>
        <v>0</v>
      </c>
    </row>
    <row r="59" spans="3:34">
      <c r="C59" s="28" t="str">
        <f>'MP Calculations'!D86</f>
        <v>2042-43</v>
      </c>
      <c r="D59" s="44">
        <v>0</v>
      </c>
      <c r="E59" s="199"/>
      <c r="F59" s="39">
        <v>120</v>
      </c>
      <c r="G59" s="44">
        <f t="shared" si="11"/>
        <v>120</v>
      </c>
      <c r="H59" s="199"/>
      <c r="I59" s="39">
        <v>200</v>
      </c>
      <c r="J59" s="44">
        <f t="shared" si="12"/>
        <v>150</v>
      </c>
      <c r="K59" s="199"/>
      <c r="L59" s="39">
        <v>0</v>
      </c>
      <c r="M59" s="44">
        <f t="shared" si="13"/>
        <v>0</v>
      </c>
      <c r="N59" s="199"/>
      <c r="O59" s="39">
        <v>0</v>
      </c>
      <c r="P59" s="44">
        <f t="shared" si="14"/>
        <v>0</v>
      </c>
      <c r="Q59" s="199"/>
      <c r="R59" s="39">
        <v>0</v>
      </c>
      <c r="S59" s="44">
        <f t="shared" si="15"/>
        <v>0</v>
      </c>
      <c r="T59" s="199"/>
      <c r="U59" s="39">
        <v>0</v>
      </c>
      <c r="V59" s="44">
        <f t="shared" si="16"/>
        <v>0</v>
      </c>
      <c r="W59" s="199"/>
      <c r="X59" s="39">
        <v>0</v>
      </c>
      <c r="Y59" s="44">
        <f t="shared" si="17"/>
        <v>0</v>
      </c>
      <c r="Z59" s="199"/>
      <c r="AA59" s="39">
        <v>0</v>
      </c>
      <c r="AB59" s="44">
        <f t="shared" si="18"/>
        <v>0</v>
      </c>
      <c r="AC59" s="199"/>
      <c r="AD59" s="39">
        <v>0</v>
      </c>
      <c r="AE59" s="44">
        <f t="shared" si="19"/>
        <v>0</v>
      </c>
      <c r="AF59" s="199"/>
      <c r="AG59" s="39">
        <v>0</v>
      </c>
      <c r="AH59" s="44">
        <f t="shared" si="20"/>
        <v>0</v>
      </c>
    </row>
    <row r="60" spans="3:34">
      <c r="C60" s="28" t="str">
        <f>'MP Calculations'!D87</f>
        <v>2043-44</v>
      </c>
      <c r="D60" s="44">
        <v>0</v>
      </c>
      <c r="E60" s="199"/>
      <c r="F60" s="39">
        <v>120</v>
      </c>
      <c r="G60" s="44">
        <f t="shared" si="11"/>
        <v>120</v>
      </c>
      <c r="H60" s="199"/>
      <c r="I60" s="39">
        <v>200</v>
      </c>
      <c r="J60" s="44">
        <f t="shared" si="12"/>
        <v>150</v>
      </c>
      <c r="K60" s="199"/>
      <c r="L60" s="39">
        <v>0</v>
      </c>
      <c r="M60" s="44">
        <f t="shared" si="13"/>
        <v>0</v>
      </c>
      <c r="N60" s="199"/>
      <c r="O60" s="39">
        <v>0</v>
      </c>
      <c r="P60" s="44">
        <f t="shared" si="14"/>
        <v>0</v>
      </c>
      <c r="Q60" s="199"/>
      <c r="R60" s="39">
        <v>0</v>
      </c>
      <c r="S60" s="44">
        <f t="shared" si="15"/>
        <v>0</v>
      </c>
      <c r="T60" s="199"/>
      <c r="U60" s="39">
        <v>0</v>
      </c>
      <c r="V60" s="44">
        <f t="shared" si="16"/>
        <v>0</v>
      </c>
      <c r="W60" s="199"/>
      <c r="X60" s="39">
        <v>0</v>
      </c>
      <c r="Y60" s="44">
        <f t="shared" si="17"/>
        <v>0</v>
      </c>
      <c r="Z60" s="199"/>
      <c r="AA60" s="39">
        <v>0</v>
      </c>
      <c r="AB60" s="44">
        <f t="shared" si="18"/>
        <v>0</v>
      </c>
      <c r="AC60" s="199"/>
      <c r="AD60" s="39">
        <v>0</v>
      </c>
      <c r="AE60" s="44">
        <f t="shared" si="19"/>
        <v>0</v>
      </c>
      <c r="AF60" s="199"/>
      <c r="AG60" s="39">
        <v>0</v>
      </c>
      <c r="AH60" s="44">
        <f t="shared" si="20"/>
        <v>0</v>
      </c>
    </row>
    <row r="61" spans="3:34">
      <c r="C61" s="28" t="str">
        <f>'MP Calculations'!D88</f>
        <v>2044-45</v>
      </c>
      <c r="D61" s="44">
        <v>0</v>
      </c>
      <c r="E61" s="199"/>
      <c r="F61" s="39">
        <v>120</v>
      </c>
      <c r="G61" s="44">
        <f t="shared" si="11"/>
        <v>120</v>
      </c>
      <c r="H61" s="199"/>
      <c r="I61" s="39">
        <v>200</v>
      </c>
      <c r="J61" s="44">
        <f t="shared" si="12"/>
        <v>150</v>
      </c>
      <c r="K61" s="199"/>
      <c r="L61" s="39">
        <v>0</v>
      </c>
      <c r="M61" s="44">
        <f t="shared" si="13"/>
        <v>0</v>
      </c>
      <c r="N61" s="199"/>
      <c r="O61" s="39">
        <v>0</v>
      </c>
      <c r="P61" s="44">
        <f t="shared" si="14"/>
        <v>0</v>
      </c>
      <c r="Q61" s="199"/>
      <c r="R61" s="39">
        <v>0</v>
      </c>
      <c r="S61" s="44">
        <f t="shared" si="15"/>
        <v>0</v>
      </c>
      <c r="T61" s="199"/>
      <c r="U61" s="39">
        <v>0</v>
      </c>
      <c r="V61" s="44">
        <f t="shared" si="16"/>
        <v>0</v>
      </c>
      <c r="W61" s="199"/>
      <c r="X61" s="39">
        <v>0</v>
      </c>
      <c r="Y61" s="44">
        <f t="shared" si="17"/>
        <v>0</v>
      </c>
      <c r="Z61" s="199"/>
      <c r="AA61" s="39">
        <v>0</v>
      </c>
      <c r="AB61" s="44">
        <f t="shared" si="18"/>
        <v>0</v>
      </c>
      <c r="AC61" s="199"/>
      <c r="AD61" s="39">
        <v>0</v>
      </c>
      <c r="AE61" s="44">
        <f t="shared" si="19"/>
        <v>0</v>
      </c>
      <c r="AF61" s="199"/>
      <c r="AG61" s="39">
        <v>0</v>
      </c>
      <c r="AH61" s="44">
        <f t="shared" si="20"/>
        <v>0</v>
      </c>
    </row>
    <row r="62" spans="3:34">
      <c r="C62" s="28" t="str">
        <f>'MP Calculations'!D89</f>
        <v>2045-46</v>
      </c>
      <c r="D62" s="44">
        <v>0</v>
      </c>
      <c r="E62" s="199"/>
      <c r="F62" s="39">
        <v>120</v>
      </c>
      <c r="G62" s="44">
        <f t="shared" si="11"/>
        <v>120</v>
      </c>
      <c r="H62" s="199"/>
      <c r="I62" s="39">
        <v>200</v>
      </c>
      <c r="J62" s="44">
        <f t="shared" si="12"/>
        <v>150</v>
      </c>
      <c r="K62" s="199"/>
      <c r="L62" s="39">
        <v>0</v>
      </c>
      <c r="M62" s="44">
        <f t="shared" si="13"/>
        <v>0</v>
      </c>
      <c r="N62" s="199"/>
      <c r="O62" s="39">
        <v>0</v>
      </c>
      <c r="P62" s="44">
        <f t="shared" si="14"/>
        <v>0</v>
      </c>
      <c r="Q62" s="199"/>
      <c r="R62" s="39">
        <v>0</v>
      </c>
      <c r="S62" s="44">
        <f t="shared" si="15"/>
        <v>0</v>
      </c>
      <c r="T62" s="199"/>
      <c r="U62" s="39">
        <v>0</v>
      </c>
      <c r="V62" s="44">
        <f t="shared" si="16"/>
        <v>0</v>
      </c>
      <c r="W62" s="199"/>
      <c r="X62" s="39">
        <v>0</v>
      </c>
      <c r="Y62" s="44">
        <f t="shared" si="17"/>
        <v>0</v>
      </c>
      <c r="Z62" s="199"/>
      <c r="AA62" s="39">
        <v>0</v>
      </c>
      <c r="AB62" s="44">
        <f t="shared" si="18"/>
        <v>0</v>
      </c>
      <c r="AC62" s="199"/>
      <c r="AD62" s="39">
        <v>0</v>
      </c>
      <c r="AE62" s="44">
        <f t="shared" si="19"/>
        <v>0</v>
      </c>
      <c r="AF62" s="199"/>
      <c r="AG62" s="39">
        <v>0</v>
      </c>
      <c r="AH62" s="44">
        <f t="shared" si="20"/>
        <v>0</v>
      </c>
    </row>
    <row r="63" spans="3:34">
      <c r="C63" s="28" t="str">
        <f>'MP Calculations'!D90</f>
        <v>2046-47</v>
      </c>
      <c r="D63" s="44">
        <v>0</v>
      </c>
      <c r="E63" s="199"/>
      <c r="F63" s="39">
        <v>120</v>
      </c>
      <c r="G63" s="44">
        <f t="shared" si="11"/>
        <v>120</v>
      </c>
      <c r="H63" s="199"/>
      <c r="I63" s="39">
        <v>200</v>
      </c>
      <c r="J63" s="44">
        <f t="shared" si="12"/>
        <v>150</v>
      </c>
      <c r="K63" s="199"/>
      <c r="L63" s="39">
        <v>0</v>
      </c>
      <c r="M63" s="44">
        <f t="shared" si="13"/>
        <v>0</v>
      </c>
      <c r="N63" s="199"/>
      <c r="O63" s="39">
        <v>0</v>
      </c>
      <c r="P63" s="44">
        <f t="shared" si="14"/>
        <v>0</v>
      </c>
      <c r="Q63" s="199"/>
      <c r="R63" s="39">
        <v>0</v>
      </c>
      <c r="S63" s="44">
        <f t="shared" si="15"/>
        <v>0</v>
      </c>
      <c r="T63" s="199"/>
      <c r="U63" s="39">
        <v>0</v>
      </c>
      <c r="V63" s="44">
        <f t="shared" si="16"/>
        <v>0</v>
      </c>
      <c r="W63" s="199"/>
      <c r="X63" s="39">
        <v>0</v>
      </c>
      <c r="Y63" s="44">
        <f t="shared" si="17"/>
        <v>0</v>
      </c>
      <c r="Z63" s="199"/>
      <c r="AA63" s="39">
        <v>0</v>
      </c>
      <c r="AB63" s="44">
        <f t="shared" si="18"/>
        <v>0</v>
      </c>
      <c r="AC63" s="199"/>
      <c r="AD63" s="39">
        <v>0</v>
      </c>
      <c r="AE63" s="44">
        <f t="shared" si="19"/>
        <v>0</v>
      </c>
      <c r="AF63" s="199"/>
      <c r="AG63" s="39">
        <v>0</v>
      </c>
      <c r="AH63" s="44">
        <f t="shared" si="20"/>
        <v>0</v>
      </c>
    </row>
    <row r="64" spans="3:34">
      <c r="C64" s="28" t="str">
        <f>'MP Calculations'!D91</f>
        <v>2047-48</v>
      </c>
      <c r="D64" s="44">
        <v>0</v>
      </c>
      <c r="E64" s="199"/>
      <c r="F64" s="39">
        <v>120</v>
      </c>
      <c r="G64" s="44">
        <f t="shared" si="11"/>
        <v>120</v>
      </c>
      <c r="H64" s="199"/>
      <c r="I64" s="39">
        <v>200</v>
      </c>
      <c r="J64" s="44">
        <f t="shared" si="12"/>
        <v>150</v>
      </c>
      <c r="K64" s="199"/>
      <c r="L64" s="39">
        <v>0</v>
      </c>
      <c r="M64" s="44">
        <f t="shared" si="13"/>
        <v>0</v>
      </c>
      <c r="N64" s="199"/>
      <c r="O64" s="39">
        <v>0</v>
      </c>
      <c r="P64" s="44">
        <f t="shared" si="14"/>
        <v>0</v>
      </c>
      <c r="Q64" s="199"/>
      <c r="R64" s="39">
        <v>0</v>
      </c>
      <c r="S64" s="44">
        <f t="shared" si="15"/>
        <v>0</v>
      </c>
      <c r="T64" s="199"/>
      <c r="U64" s="39">
        <v>0</v>
      </c>
      <c r="V64" s="44">
        <f t="shared" si="16"/>
        <v>0</v>
      </c>
      <c r="W64" s="199"/>
      <c r="X64" s="39">
        <v>0</v>
      </c>
      <c r="Y64" s="44">
        <f t="shared" si="17"/>
        <v>0</v>
      </c>
      <c r="Z64" s="199"/>
      <c r="AA64" s="39">
        <v>0</v>
      </c>
      <c r="AB64" s="44">
        <f t="shared" si="18"/>
        <v>0</v>
      </c>
      <c r="AC64" s="199"/>
      <c r="AD64" s="39">
        <v>0</v>
      </c>
      <c r="AE64" s="44">
        <f t="shared" si="19"/>
        <v>0</v>
      </c>
      <c r="AF64" s="199"/>
      <c r="AG64" s="39">
        <v>0</v>
      </c>
      <c r="AH64" s="44">
        <f t="shared" si="20"/>
        <v>0</v>
      </c>
    </row>
    <row r="65" spans="3:34">
      <c r="C65" s="28" t="str">
        <f>'MP Calculations'!D92</f>
        <v>2048-49</v>
      </c>
      <c r="D65" s="44">
        <v>0</v>
      </c>
      <c r="E65" s="199"/>
      <c r="F65" s="39"/>
      <c r="G65" s="44">
        <f t="shared" si="11"/>
        <v>0</v>
      </c>
      <c r="H65" s="199"/>
      <c r="I65" s="39"/>
      <c r="J65" s="44">
        <f t="shared" si="12"/>
        <v>0</v>
      </c>
      <c r="K65" s="199"/>
      <c r="L65" s="39"/>
      <c r="M65" s="44">
        <f t="shared" si="13"/>
        <v>0</v>
      </c>
      <c r="N65" s="199"/>
      <c r="O65" s="39"/>
      <c r="P65" s="44">
        <f t="shared" si="14"/>
        <v>0</v>
      </c>
      <c r="Q65" s="199"/>
      <c r="R65" s="39"/>
      <c r="S65" s="44">
        <f t="shared" si="15"/>
        <v>0</v>
      </c>
      <c r="T65" s="199"/>
      <c r="U65" s="39"/>
      <c r="V65" s="44">
        <f t="shared" si="16"/>
        <v>0</v>
      </c>
      <c r="W65" s="199"/>
      <c r="X65" s="39"/>
      <c r="Y65" s="44">
        <f t="shared" si="17"/>
        <v>0</v>
      </c>
      <c r="Z65" s="199"/>
      <c r="AA65" s="39"/>
      <c r="AB65" s="44">
        <f t="shared" si="18"/>
        <v>0</v>
      </c>
      <c r="AC65" s="199"/>
      <c r="AD65" s="39"/>
      <c r="AE65" s="44">
        <f t="shared" si="19"/>
        <v>0</v>
      </c>
      <c r="AF65" s="199"/>
      <c r="AG65" s="39"/>
      <c r="AH65" s="44">
        <f t="shared" si="20"/>
        <v>0</v>
      </c>
    </row>
    <row r="66" spans="3:34">
      <c r="C66" s="28" t="str">
        <f>'MP Calculations'!D93</f>
        <v>2049-50</v>
      </c>
      <c r="D66" s="44">
        <v>0</v>
      </c>
      <c r="E66" s="199"/>
      <c r="F66" s="39"/>
      <c r="G66" s="44">
        <f t="shared" si="11"/>
        <v>0</v>
      </c>
      <c r="H66" s="199"/>
      <c r="I66" s="39"/>
      <c r="J66" s="44">
        <f t="shared" si="12"/>
        <v>0</v>
      </c>
      <c r="K66" s="199"/>
      <c r="L66" s="39"/>
      <c r="M66" s="44">
        <f t="shared" si="13"/>
        <v>0</v>
      </c>
      <c r="N66" s="199"/>
      <c r="O66" s="39"/>
      <c r="P66" s="44">
        <f t="shared" si="14"/>
        <v>0</v>
      </c>
      <c r="Q66" s="199"/>
      <c r="R66" s="39"/>
      <c r="S66" s="44">
        <f t="shared" si="15"/>
        <v>0</v>
      </c>
      <c r="T66" s="199"/>
      <c r="U66" s="39"/>
      <c r="V66" s="44">
        <f t="shared" si="16"/>
        <v>0</v>
      </c>
      <c r="W66" s="199"/>
      <c r="X66" s="39"/>
      <c r="Y66" s="44">
        <f t="shared" si="17"/>
        <v>0</v>
      </c>
      <c r="Z66" s="199"/>
      <c r="AA66" s="39"/>
      <c r="AB66" s="44">
        <f t="shared" si="18"/>
        <v>0</v>
      </c>
      <c r="AC66" s="199"/>
      <c r="AD66" s="39"/>
      <c r="AE66" s="44">
        <f t="shared" si="19"/>
        <v>0</v>
      </c>
      <c r="AF66" s="199"/>
      <c r="AG66" s="39"/>
      <c r="AH66" s="44">
        <f t="shared" si="20"/>
        <v>0</v>
      </c>
    </row>
    <row r="67" spans="3:34">
      <c r="C67" s="28" t="str">
        <f>'MP Calculations'!D94</f>
        <v>2050-51</v>
      </c>
      <c r="D67" s="44">
        <v>0</v>
      </c>
      <c r="E67" s="199"/>
      <c r="F67" s="39"/>
      <c r="G67" s="44">
        <f t="shared" si="11"/>
        <v>0</v>
      </c>
      <c r="H67" s="199"/>
      <c r="I67" s="39"/>
      <c r="J67" s="44">
        <f t="shared" si="12"/>
        <v>0</v>
      </c>
      <c r="K67" s="199"/>
      <c r="L67" s="39"/>
      <c r="M67" s="44">
        <f t="shared" si="13"/>
        <v>0</v>
      </c>
      <c r="N67" s="199"/>
      <c r="O67" s="39"/>
      <c r="P67" s="44">
        <f t="shared" si="14"/>
        <v>0</v>
      </c>
      <c r="Q67" s="199"/>
      <c r="R67" s="39"/>
      <c r="S67" s="44">
        <f t="shared" si="15"/>
        <v>0</v>
      </c>
      <c r="T67" s="199"/>
      <c r="U67" s="39"/>
      <c r="V67" s="44">
        <f t="shared" si="16"/>
        <v>0</v>
      </c>
      <c r="W67" s="199"/>
      <c r="X67" s="39"/>
      <c r="Y67" s="44">
        <f t="shared" si="17"/>
        <v>0</v>
      </c>
      <c r="Z67" s="199"/>
      <c r="AA67" s="39"/>
      <c r="AB67" s="44">
        <f t="shared" si="18"/>
        <v>0</v>
      </c>
      <c r="AC67" s="199"/>
      <c r="AD67" s="39"/>
      <c r="AE67" s="44">
        <f t="shared" si="19"/>
        <v>0</v>
      </c>
      <c r="AF67" s="199"/>
      <c r="AG67" s="39"/>
      <c r="AH67" s="44">
        <f t="shared" si="20"/>
        <v>0</v>
      </c>
    </row>
    <row r="68" spans="3:34">
      <c r="C68" s="28" t="str">
        <f>'MP Calculations'!D95</f>
        <v>2051-52</v>
      </c>
      <c r="D68" s="44">
        <v>0</v>
      </c>
      <c r="E68" s="199"/>
      <c r="F68" s="39"/>
      <c r="G68" s="44">
        <f t="shared" si="11"/>
        <v>0</v>
      </c>
      <c r="H68" s="199"/>
      <c r="I68" s="39"/>
      <c r="J68" s="44">
        <f t="shared" si="12"/>
        <v>0</v>
      </c>
      <c r="K68" s="199"/>
      <c r="L68" s="39"/>
      <c r="M68" s="44">
        <f t="shared" si="13"/>
        <v>0</v>
      </c>
      <c r="N68" s="199"/>
      <c r="O68" s="39"/>
      <c r="P68" s="44">
        <f t="shared" si="14"/>
        <v>0</v>
      </c>
      <c r="Q68" s="199"/>
      <c r="R68" s="39"/>
      <c r="S68" s="44">
        <f t="shared" si="15"/>
        <v>0</v>
      </c>
      <c r="T68" s="199"/>
      <c r="U68" s="39"/>
      <c r="V68" s="44">
        <f t="shared" si="16"/>
        <v>0</v>
      </c>
      <c r="W68" s="199"/>
      <c r="X68" s="39"/>
      <c r="Y68" s="44">
        <f t="shared" si="17"/>
        <v>0</v>
      </c>
      <c r="Z68" s="199"/>
      <c r="AA68" s="39"/>
      <c r="AB68" s="44">
        <f t="shared" si="18"/>
        <v>0</v>
      </c>
      <c r="AC68" s="199"/>
      <c r="AD68" s="39"/>
      <c r="AE68" s="44">
        <f t="shared" si="19"/>
        <v>0</v>
      </c>
      <c r="AF68" s="199"/>
      <c r="AG68" s="39"/>
      <c r="AH68" s="44">
        <f t="shared" si="20"/>
        <v>0</v>
      </c>
    </row>
    <row r="69" spans="3:34">
      <c r="C69" s="28" t="str">
        <f>'MP Calculations'!D96</f>
        <v>2052-53</v>
      </c>
      <c r="D69" s="44">
        <v>0</v>
      </c>
      <c r="E69" s="199"/>
      <c r="F69" s="39"/>
      <c r="G69" s="44">
        <f t="shared" si="11"/>
        <v>0</v>
      </c>
      <c r="H69" s="199"/>
      <c r="I69" s="39"/>
      <c r="J69" s="44">
        <f t="shared" si="12"/>
        <v>0</v>
      </c>
      <c r="K69" s="199"/>
      <c r="L69" s="39"/>
      <c r="M69" s="44">
        <f t="shared" si="13"/>
        <v>0</v>
      </c>
      <c r="N69" s="199"/>
      <c r="O69" s="39"/>
      <c r="P69" s="44">
        <f t="shared" si="14"/>
        <v>0</v>
      </c>
      <c r="Q69" s="199"/>
      <c r="R69" s="39"/>
      <c r="S69" s="44">
        <f t="shared" si="15"/>
        <v>0</v>
      </c>
      <c r="T69" s="199"/>
      <c r="U69" s="39"/>
      <c r="V69" s="44">
        <f t="shared" si="16"/>
        <v>0</v>
      </c>
      <c r="W69" s="199"/>
      <c r="X69" s="39"/>
      <c r="Y69" s="44">
        <f t="shared" si="17"/>
        <v>0</v>
      </c>
      <c r="Z69" s="199"/>
      <c r="AA69" s="39"/>
      <c r="AB69" s="44">
        <f t="shared" si="18"/>
        <v>0</v>
      </c>
      <c r="AC69" s="199"/>
      <c r="AD69" s="39"/>
      <c r="AE69" s="44">
        <f t="shared" si="19"/>
        <v>0</v>
      </c>
      <c r="AF69" s="199"/>
      <c r="AG69" s="39"/>
      <c r="AH69" s="44">
        <f t="shared" si="20"/>
        <v>0</v>
      </c>
    </row>
    <row r="70" spans="3:34">
      <c r="C70" s="28" t="str">
        <f>'MP Calculations'!D97</f>
        <v>2053-54</v>
      </c>
      <c r="D70" s="44">
        <v>0</v>
      </c>
      <c r="E70" s="199"/>
      <c r="F70" s="39"/>
      <c r="G70" s="44">
        <f t="shared" si="11"/>
        <v>0</v>
      </c>
      <c r="H70" s="199"/>
      <c r="I70" s="39"/>
      <c r="J70" s="44">
        <f t="shared" si="12"/>
        <v>0</v>
      </c>
      <c r="K70" s="199"/>
      <c r="L70" s="39"/>
      <c r="M70" s="44">
        <f t="shared" si="13"/>
        <v>0</v>
      </c>
      <c r="N70" s="199"/>
      <c r="O70" s="39"/>
      <c r="P70" s="44">
        <f t="shared" si="14"/>
        <v>0</v>
      </c>
      <c r="Q70" s="199"/>
      <c r="R70" s="39"/>
      <c r="S70" s="44">
        <f t="shared" si="15"/>
        <v>0</v>
      </c>
      <c r="T70" s="199"/>
      <c r="U70" s="39"/>
      <c r="V70" s="44">
        <f t="shared" si="16"/>
        <v>0</v>
      </c>
      <c r="W70" s="199"/>
      <c r="X70" s="39"/>
      <c r="Y70" s="44">
        <f t="shared" si="17"/>
        <v>0</v>
      </c>
      <c r="Z70" s="199"/>
      <c r="AA70" s="39"/>
      <c r="AB70" s="44">
        <f t="shared" si="18"/>
        <v>0</v>
      </c>
      <c r="AC70" s="199"/>
      <c r="AD70" s="39"/>
      <c r="AE70" s="44">
        <f t="shared" si="19"/>
        <v>0</v>
      </c>
      <c r="AF70" s="199"/>
      <c r="AG70" s="39"/>
      <c r="AH70" s="44">
        <f t="shared" si="20"/>
        <v>0</v>
      </c>
    </row>
    <row r="71" spans="3:34">
      <c r="C71" s="28" t="str">
        <f>'MP Calculations'!D98</f>
        <v>2054-55</v>
      </c>
      <c r="D71" s="44">
        <v>0</v>
      </c>
      <c r="E71" s="199"/>
      <c r="F71" s="39"/>
      <c r="G71" s="44">
        <f t="shared" si="11"/>
        <v>0</v>
      </c>
      <c r="H71" s="199"/>
      <c r="I71" s="39"/>
      <c r="J71" s="44">
        <f t="shared" si="12"/>
        <v>0</v>
      </c>
      <c r="K71" s="199"/>
      <c r="L71" s="39"/>
      <c r="M71" s="44">
        <f t="shared" si="13"/>
        <v>0</v>
      </c>
      <c r="N71" s="199"/>
      <c r="O71" s="39"/>
      <c r="P71" s="44">
        <f t="shared" si="14"/>
        <v>0</v>
      </c>
      <c r="Q71" s="199"/>
      <c r="R71" s="39"/>
      <c r="S71" s="44">
        <f t="shared" si="15"/>
        <v>0</v>
      </c>
      <c r="T71" s="199"/>
      <c r="U71" s="39"/>
      <c r="V71" s="44">
        <f t="shared" si="16"/>
        <v>0</v>
      </c>
      <c r="W71" s="199"/>
      <c r="X71" s="39"/>
      <c r="Y71" s="44">
        <f t="shared" si="17"/>
        <v>0</v>
      </c>
      <c r="Z71" s="199"/>
      <c r="AA71" s="39"/>
      <c r="AB71" s="44">
        <f t="shared" si="18"/>
        <v>0</v>
      </c>
      <c r="AC71" s="199"/>
      <c r="AD71" s="39"/>
      <c r="AE71" s="44">
        <f t="shared" si="19"/>
        <v>0</v>
      </c>
      <c r="AF71" s="199"/>
      <c r="AG71" s="39"/>
      <c r="AH71" s="44">
        <f t="shared" si="20"/>
        <v>0</v>
      </c>
    </row>
    <row r="72" spans="3:34">
      <c r="C72" s="28" t="str">
        <f>'MP Calculations'!D99</f>
        <v>2055-56</v>
      </c>
      <c r="D72" s="44">
        <v>0</v>
      </c>
      <c r="E72" s="199"/>
      <c r="F72" s="39"/>
      <c r="G72" s="44">
        <f t="shared" si="11"/>
        <v>0</v>
      </c>
      <c r="H72" s="199"/>
      <c r="I72" s="39"/>
      <c r="J72" s="44">
        <f t="shared" si="12"/>
        <v>0</v>
      </c>
      <c r="K72" s="199"/>
      <c r="L72" s="39"/>
      <c r="M72" s="44">
        <f t="shared" si="13"/>
        <v>0</v>
      </c>
      <c r="N72" s="199"/>
      <c r="O72" s="39"/>
      <c r="P72" s="44">
        <f t="shared" si="14"/>
        <v>0</v>
      </c>
      <c r="Q72" s="199"/>
      <c r="R72" s="39"/>
      <c r="S72" s="44">
        <f t="shared" si="15"/>
        <v>0</v>
      </c>
      <c r="T72" s="199"/>
      <c r="U72" s="39"/>
      <c r="V72" s="44">
        <f t="shared" si="16"/>
        <v>0</v>
      </c>
      <c r="W72" s="199"/>
      <c r="X72" s="39"/>
      <c r="Y72" s="44">
        <f t="shared" si="17"/>
        <v>0</v>
      </c>
      <c r="Z72" s="199"/>
      <c r="AA72" s="39"/>
      <c r="AB72" s="44">
        <f t="shared" si="18"/>
        <v>0</v>
      </c>
      <c r="AC72" s="199"/>
      <c r="AD72" s="39"/>
      <c r="AE72" s="44">
        <f t="shared" si="19"/>
        <v>0</v>
      </c>
      <c r="AF72" s="199"/>
      <c r="AG72" s="39"/>
      <c r="AH72" s="44">
        <f t="shared" si="20"/>
        <v>0</v>
      </c>
    </row>
    <row r="73" spans="3:34">
      <c r="C73" s="28" t="str">
        <f>'MP Calculations'!D100</f>
        <v>2056-57</v>
      </c>
      <c r="D73" s="44">
        <v>0</v>
      </c>
      <c r="E73" s="199"/>
      <c r="F73" s="39"/>
      <c r="G73" s="44">
        <f t="shared" si="11"/>
        <v>0</v>
      </c>
      <c r="H73" s="199"/>
      <c r="I73" s="39"/>
      <c r="J73" s="44">
        <f t="shared" si="12"/>
        <v>0</v>
      </c>
      <c r="K73" s="199"/>
      <c r="L73" s="39"/>
      <c r="M73" s="44">
        <f t="shared" si="13"/>
        <v>0</v>
      </c>
      <c r="N73" s="199"/>
      <c r="O73" s="39"/>
      <c r="P73" s="44">
        <f t="shared" si="14"/>
        <v>0</v>
      </c>
      <c r="Q73" s="199"/>
      <c r="R73" s="39"/>
      <c r="S73" s="44">
        <f t="shared" si="15"/>
        <v>0</v>
      </c>
      <c r="T73" s="199"/>
      <c r="U73" s="39"/>
      <c r="V73" s="44">
        <f t="shared" si="16"/>
        <v>0</v>
      </c>
      <c r="W73" s="199"/>
      <c r="X73" s="39"/>
      <c r="Y73" s="44">
        <f t="shared" si="17"/>
        <v>0</v>
      </c>
      <c r="Z73" s="199"/>
      <c r="AA73" s="39"/>
      <c r="AB73" s="44">
        <f t="shared" si="18"/>
        <v>0</v>
      </c>
      <c r="AC73" s="199"/>
      <c r="AD73" s="39"/>
      <c r="AE73" s="44">
        <f t="shared" si="19"/>
        <v>0</v>
      </c>
      <c r="AF73" s="199"/>
      <c r="AG73" s="39"/>
      <c r="AH73" s="44">
        <f t="shared" si="20"/>
        <v>0</v>
      </c>
    </row>
    <row r="74" spans="3:34">
      <c r="C74" s="28" t="str">
        <f>'MP Calculations'!D101</f>
        <v>2057-58</v>
      </c>
      <c r="D74" s="44">
        <v>0</v>
      </c>
      <c r="E74" s="199"/>
      <c r="F74" s="39"/>
      <c r="G74" s="44">
        <f t="shared" si="11"/>
        <v>0</v>
      </c>
      <c r="H74" s="199"/>
      <c r="I74" s="39"/>
      <c r="J74" s="44">
        <f t="shared" si="12"/>
        <v>0</v>
      </c>
      <c r="K74" s="199"/>
      <c r="L74" s="39"/>
      <c r="M74" s="44">
        <f t="shared" si="13"/>
        <v>0</v>
      </c>
      <c r="N74" s="199"/>
      <c r="O74" s="39"/>
      <c r="P74" s="44">
        <f t="shared" si="14"/>
        <v>0</v>
      </c>
      <c r="Q74" s="199"/>
      <c r="R74" s="39"/>
      <c r="S74" s="44">
        <f t="shared" si="15"/>
        <v>0</v>
      </c>
      <c r="T74" s="199"/>
      <c r="U74" s="39"/>
      <c r="V74" s="44">
        <f t="shared" si="16"/>
        <v>0</v>
      </c>
      <c r="W74" s="199"/>
      <c r="X74" s="39"/>
      <c r="Y74" s="44">
        <f t="shared" si="17"/>
        <v>0</v>
      </c>
      <c r="Z74" s="199"/>
      <c r="AA74" s="39"/>
      <c r="AB74" s="44">
        <f t="shared" si="18"/>
        <v>0</v>
      </c>
      <c r="AC74" s="199"/>
      <c r="AD74" s="39"/>
      <c r="AE74" s="44">
        <f t="shared" si="19"/>
        <v>0</v>
      </c>
      <c r="AF74" s="199"/>
      <c r="AG74" s="39"/>
      <c r="AH74" s="44">
        <f t="shared" si="20"/>
        <v>0</v>
      </c>
    </row>
    <row r="75" spans="3:34">
      <c r="C75" s="28" t="str">
        <f>'MP Calculations'!D102</f>
        <v>2058-59</v>
      </c>
      <c r="D75" s="44">
        <v>0</v>
      </c>
      <c r="E75" s="199"/>
      <c r="F75" s="39"/>
      <c r="G75" s="44">
        <f t="shared" si="11"/>
        <v>0</v>
      </c>
      <c r="H75" s="199"/>
      <c r="I75" s="39"/>
      <c r="J75" s="44">
        <f t="shared" si="12"/>
        <v>0</v>
      </c>
      <c r="K75" s="199"/>
      <c r="L75" s="39"/>
      <c r="M75" s="44">
        <f t="shared" si="13"/>
        <v>0</v>
      </c>
      <c r="N75" s="199"/>
      <c r="O75" s="39"/>
      <c r="P75" s="44">
        <f t="shared" si="14"/>
        <v>0</v>
      </c>
      <c r="Q75" s="199"/>
      <c r="R75" s="39"/>
      <c r="S75" s="44">
        <f t="shared" si="15"/>
        <v>0</v>
      </c>
      <c r="T75" s="199"/>
      <c r="U75" s="39"/>
      <c r="V75" s="44">
        <f t="shared" si="16"/>
        <v>0</v>
      </c>
      <c r="W75" s="199"/>
      <c r="X75" s="39"/>
      <c r="Y75" s="44">
        <f t="shared" si="17"/>
        <v>0</v>
      </c>
      <c r="Z75" s="199"/>
      <c r="AA75" s="39"/>
      <c r="AB75" s="44">
        <f t="shared" si="18"/>
        <v>0</v>
      </c>
      <c r="AC75" s="199"/>
      <c r="AD75" s="39"/>
      <c r="AE75" s="44">
        <f t="shared" si="19"/>
        <v>0</v>
      </c>
      <c r="AF75" s="199"/>
      <c r="AG75" s="39"/>
      <c r="AH75" s="44">
        <f t="shared" si="20"/>
        <v>0</v>
      </c>
    </row>
    <row r="76" spans="3:34">
      <c r="C76" s="28" t="str">
        <f>'MP Calculations'!D103</f>
        <v>2059-60</v>
      </c>
      <c r="D76" s="44">
        <v>0</v>
      </c>
      <c r="E76" s="199"/>
      <c r="F76" s="39"/>
      <c r="G76" s="44">
        <f t="shared" ref="G76:G102" si="21">F76*$G$9/$F$6</f>
        <v>0</v>
      </c>
      <c r="H76" s="199"/>
      <c r="I76" s="39"/>
      <c r="J76" s="44">
        <f t="shared" ref="J76:J102" si="22">I76*$J$9/$F$6</f>
        <v>0</v>
      </c>
      <c r="K76" s="199"/>
      <c r="L76" s="39"/>
      <c r="M76" s="44">
        <f t="shared" ref="M76:M102" si="23">L76*$M$9/$F$6</f>
        <v>0</v>
      </c>
      <c r="N76" s="199"/>
      <c r="O76" s="39"/>
      <c r="P76" s="44">
        <f t="shared" ref="P76:P102" si="24">O76*$P$9/$F$6</f>
        <v>0</v>
      </c>
      <c r="Q76" s="199"/>
      <c r="R76" s="39"/>
      <c r="S76" s="44">
        <f t="shared" ref="S76:S102" si="25">R76*$S$9/$F$6</f>
        <v>0</v>
      </c>
      <c r="T76" s="199"/>
      <c r="U76" s="39"/>
      <c r="V76" s="44">
        <f t="shared" ref="V76:V102" si="26">U76*$V$9/$F$6</f>
        <v>0</v>
      </c>
      <c r="W76" s="199"/>
      <c r="X76" s="39"/>
      <c r="Y76" s="44">
        <f t="shared" ref="Y76:Y102" si="27">X76*$Y$9/$F$6</f>
        <v>0</v>
      </c>
      <c r="Z76" s="199"/>
      <c r="AA76" s="39"/>
      <c r="AB76" s="44">
        <f t="shared" ref="AB76:AB102" si="28">AA76*$AB$9/$F$6</f>
        <v>0</v>
      </c>
      <c r="AC76" s="199"/>
      <c r="AD76" s="39"/>
      <c r="AE76" s="44">
        <f t="shared" ref="AE76:AE102" si="29">AD76*$AE$9/$F$6</f>
        <v>0</v>
      </c>
      <c r="AF76" s="199"/>
      <c r="AG76" s="39"/>
      <c r="AH76" s="44">
        <f t="shared" ref="AH76:AH102" si="30">AG76*$AH$9/$F$6</f>
        <v>0</v>
      </c>
    </row>
    <row r="77" spans="3:34">
      <c r="C77" s="28" t="str">
        <f>'MP Calculations'!D104</f>
        <v>2060-61</v>
      </c>
      <c r="D77" s="44"/>
      <c r="E77" s="199"/>
      <c r="F77" s="39"/>
      <c r="G77" s="44">
        <f t="shared" si="21"/>
        <v>0</v>
      </c>
      <c r="H77" s="199"/>
      <c r="I77" s="39"/>
      <c r="J77" s="44">
        <f t="shared" si="22"/>
        <v>0</v>
      </c>
      <c r="K77" s="199"/>
      <c r="L77" s="39"/>
      <c r="M77" s="44">
        <f t="shared" si="23"/>
        <v>0</v>
      </c>
      <c r="N77" s="199"/>
      <c r="O77" s="39"/>
      <c r="P77" s="44">
        <f t="shared" si="24"/>
        <v>0</v>
      </c>
      <c r="Q77" s="199"/>
      <c r="R77" s="39"/>
      <c r="S77" s="44">
        <f t="shared" si="25"/>
        <v>0</v>
      </c>
      <c r="T77" s="199"/>
      <c r="U77" s="39"/>
      <c r="V77" s="44">
        <f t="shared" si="26"/>
        <v>0</v>
      </c>
      <c r="W77" s="199"/>
      <c r="X77" s="39"/>
      <c r="Y77" s="44">
        <f t="shared" si="27"/>
        <v>0</v>
      </c>
      <c r="Z77" s="199"/>
      <c r="AA77" s="39"/>
      <c r="AB77" s="44">
        <f t="shared" si="28"/>
        <v>0</v>
      </c>
      <c r="AC77" s="199"/>
      <c r="AD77" s="39"/>
      <c r="AE77" s="44">
        <f t="shared" si="29"/>
        <v>0</v>
      </c>
      <c r="AF77" s="199"/>
      <c r="AG77" s="39"/>
      <c r="AH77" s="44">
        <f t="shared" si="30"/>
        <v>0</v>
      </c>
    </row>
    <row r="78" spans="3:34">
      <c r="C78" s="28" t="str">
        <f>'MP Calculations'!D105</f>
        <v>2061-62</v>
      </c>
      <c r="D78" s="44"/>
      <c r="E78" s="199"/>
      <c r="F78" s="39"/>
      <c r="G78" s="44">
        <f t="shared" si="21"/>
        <v>0</v>
      </c>
      <c r="H78" s="199"/>
      <c r="I78" s="39"/>
      <c r="J78" s="44">
        <f t="shared" si="22"/>
        <v>0</v>
      </c>
      <c r="K78" s="199"/>
      <c r="L78" s="39"/>
      <c r="M78" s="44">
        <f t="shared" si="23"/>
        <v>0</v>
      </c>
      <c r="N78" s="199"/>
      <c r="O78" s="39"/>
      <c r="P78" s="44">
        <f t="shared" si="24"/>
        <v>0</v>
      </c>
      <c r="Q78" s="199"/>
      <c r="R78" s="39"/>
      <c r="S78" s="44">
        <f t="shared" si="25"/>
        <v>0</v>
      </c>
      <c r="T78" s="199"/>
      <c r="U78" s="39"/>
      <c r="V78" s="44">
        <f t="shared" si="26"/>
        <v>0</v>
      </c>
      <c r="W78" s="199"/>
      <c r="X78" s="39"/>
      <c r="Y78" s="44">
        <f t="shared" si="27"/>
        <v>0</v>
      </c>
      <c r="Z78" s="199"/>
      <c r="AA78" s="39"/>
      <c r="AB78" s="44">
        <f t="shared" si="28"/>
        <v>0</v>
      </c>
      <c r="AC78" s="199"/>
      <c r="AD78" s="39"/>
      <c r="AE78" s="44">
        <f t="shared" si="29"/>
        <v>0</v>
      </c>
      <c r="AF78" s="199"/>
      <c r="AG78" s="39"/>
      <c r="AH78" s="44">
        <f t="shared" si="30"/>
        <v>0</v>
      </c>
    </row>
    <row r="79" spans="3:34">
      <c r="C79" s="28" t="str">
        <f>'MP Calculations'!D106</f>
        <v>2062-63</v>
      </c>
      <c r="D79" s="44"/>
      <c r="E79" s="199"/>
      <c r="F79" s="39"/>
      <c r="G79" s="44">
        <f t="shared" si="21"/>
        <v>0</v>
      </c>
      <c r="H79" s="199"/>
      <c r="I79" s="39"/>
      <c r="J79" s="44">
        <f t="shared" si="22"/>
        <v>0</v>
      </c>
      <c r="K79" s="199"/>
      <c r="L79" s="39"/>
      <c r="M79" s="44">
        <f t="shared" si="23"/>
        <v>0</v>
      </c>
      <c r="N79" s="199"/>
      <c r="O79" s="39"/>
      <c r="P79" s="44">
        <f t="shared" si="24"/>
        <v>0</v>
      </c>
      <c r="Q79" s="199"/>
      <c r="R79" s="39"/>
      <c r="S79" s="44">
        <f t="shared" si="25"/>
        <v>0</v>
      </c>
      <c r="T79" s="199"/>
      <c r="U79" s="39"/>
      <c r="V79" s="44">
        <f t="shared" si="26"/>
        <v>0</v>
      </c>
      <c r="W79" s="199"/>
      <c r="X79" s="39"/>
      <c r="Y79" s="44">
        <f t="shared" si="27"/>
        <v>0</v>
      </c>
      <c r="Z79" s="199"/>
      <c r="AA79" s="39"/>
      <c r="AB79" s="44">
        <f t="shared" si="28"/>
        <v>0</v>
      </c>
      <c r="AC79" s="199"/>
      <c r="AD79" s="39"/>
      <c r="AE79" s="44">
        <f t="shared" si="29"/>
        <v>0</v>
      </c>
      <c r="AF79" s="199"/>
      <c r="AG79" s="39"/>
      <c r="AH79" s="44">
        <f t="shared" si="30"/>
        <v>0</v>
      </c>
    </row>
    <row r="80" spans="3:34">
      <c r="C80" s="28" t="str">
        <f>'MP Calculations'!D107</f>
        <v>2063-64</v>
      </c>
      <c r="D80" s="44"/>
      <c r="E80" s="199"/>
      <c r="F80" s="39"/>
      <c r="G80" s="44">
        <f t="shared" si="21"/>
        <v>0</v>
      </c>
      <c r="H80" s="199"/>
      <c r="I80" s="39"/>
      <c r="J80" s="44">
        <f t="shared" si="22"/>
        <v>0</v>
      </c>
      <c r="K80" s="199"/>
      <c r="L80" s="39"/>
      <c r="M80" s="44">
        <f t="shared" si="23"/>
        <v>0</v>
      </c>
      <c r="N80" s="199"/>
      <c r="O80" s="39"/>
      <c r="P80" s="44">
        <f t="shared" si="24"/>
        <v>0</v>
      </c>
      <c r="Q80" s="199"/>
      <c r="R80" s="39"/>
      <c r="S80" s="44">
        <f t="shared" si="25"/>
        <v>0</v>
      </c>
      <c r="T80" s="199"/>
      <c r="U80" s="39"/>
      <c r="V80" s="44">
        <f t="shared" si="26"/>
        <v>0</v>
      </c>
      <c r="W80" s="199"/>
      <c r="X80" s="39"/>
      <c r="Y80" s="44">
        <f t="shared" si="27"/>
        <v>0</v>
      </c>
      <c r="Z80" s="199"/>
      <c r="AA80" s="39"/>
      <c r="AB80" s="44">
        <f t="shared" si="28"/>
        <v>0</v>
      </c>
      <c r="AC80" s="199"/>
      <c r="AD80" s="39"/>
      <c r="AE80" s="44">
        <f t="shared" si="29"/>
        <v>0</v>
      </c>
      <c r="AF80" s="199"/>
      <c r="AG80" s="39"/>
      <c r="AH80" s="44">
        <f t="shared" si="30"/>
        <v>0</v>
      </c>
    </row>
    <row r="81" spans="3:34">
      <c r="C81" s="28" t="str">
        <f>'MP Calculations'!D108</f>
        <v>2064-65</v>
      </c>
      <c r="D81" s="44"/>
      <c r="E81" s="199"/>
      <c r="F81" s="39"/>
      <c r="G81" s="44">
        <f t="shared" si="21"/>
        <v>0</v>
      </c>
      <c r="H81" s="199"/>
      <c r="I81" s="39"/>
      <c r="J81" s="44">
        <f t="shared" si="22"/>
        <v>0</v>
      </c>
      <c r="K81" s="199"/>
      <c r="L81" s="39"/>
      <c r="M81" s="44">
        <f t="shared" si="23"/>
        <v>0</v>
      </c>
      <c r="N81" s="199"/>
      <c r="O81" s="39"/>
      <c r="P81" s="44">
        <f t="shared" si="24"/>
        <v>0</v>
      </c>
      <c r="Q81" s="199"/>
      <c r="R81" s="39"/>
      <c r="S81" s="44">
        <f t="shared" si="25"/>
        <v>0</v>
      </c>
      <c r="T81" s="199"/>
      <c r="U81" s="39"/>
      <c r="V81" s="44">
        <f t="shared" si="26"/>
        <v>0</v>
      </c>
      <c r="W81" s="199"/>
      <c r="X81" s="39"/>
      <c r="Y81" s="44">
        <f t="shared" si="27"/>
        <v>0</v>
      </c>
      <c r="Z81" s="199"/>
      <c r="AA81" s="39"/>
      <c r="AB81" s="44">
        <f t="shared" si="28"/>
        <v>0</v>
      </c>
      <c r="AC81" s="199"/>
      <c r="AD81" s="39"/>
      <c r="AE81" s="44">
        <f t="shared" si="29"/>
        <v>0</v>
      </c>
      <c r="AF81" s="199"/>
      <c r="AG81" s="39"/>
      <c r="AH81" s="44">
        <f t="shared" si="30"/>
        <v>0</v>
      </c>
    </row>
    <row r="82" spans="3:34">
      <c r="C82" s="28" t="str">
        <f>'MP Calculations'!D109</f>
        <v>2065-66</v>
      </c>
      <c r="D82" s="44"/>
      <c r="E82" s="199"/>
      <c r="F82" s="39"/>
      <c r="G82" s="44">
        <f t="shared" si="21"/>
        <v>0</v>
      </c>
      <c r="H82" s="199"/>
      <c r="I82" s="39"/>
      <c r="J82" s="44">
        <f t="shared" si="22"/>
        <v>0</v>
      </c>
      <c r="K82" s="199"/>
      <c r="L82" s="39"/>
      <c r="M82" s="44">
        <f t="shared" si="23"/>
        <v>0</v>
      </c>
      <c r="N82" s="199"/>
      <c r="O82" s="39"/>
      <c r="P82" s="44">
        <f t="shared" si="24"/>
        <v>0</v>
      </c>
      <c r="Q82" s="199"/>
      <c r="R82" s="39"/>
      <c r="S82" s="44">
        <f t="shared" si="25"/>
        <v>0</v>
      </c>
      <c r="T82" s="199"/>
      <c r="U82" s="39"/>
      <c r="V82" s="44">
        <f t="shared" si="26"/>
        <v>0</v>
      </c>
      <c r="W82" s="199"/>
      <c r="X82" s="39"/>
      <c r="Y82" s="44">
        <f t="shared" si="27"/>
        <v>0</v>
      </c>
      <c r="Z82" s="199"/>
      <c r="AA82" s="39"/>
      <c r="AB82" s="44">
        <f t="shared" si="28"/>
        <v>0</v>
      </c>
      <c r="AC82" s="199"/>
      <c r="AD82" s="39"/>
      <c r="AE82" s="44">
        <f t="shared" si="29"/>
        <v>0</v>
      </c>
      <c r="AF82" s="199"/>
      <c r="AG82" s="39"/>
      <c r="AH82" s="44">
        <f t="shared" si="30"/>
        <v>0</v>
      </c>
    </row>
    <row r="83" spans="3:34">
      <c r="C83" s="28" t="str">
        <f>'MP Calculations'!D110</f>
        <v>2066-67</v>
      </c>
      <c r="D83" s="44"/>
      <c r="E83" s="199"/>
      <c r="F83" s="39"/>
      <c r="G83" s="44">
        <f t="shared" si="21"/>
        <v>0</v>
      </c>
      <c r="H83" s="199"/>
      <c r="I83" s="39"/>
      <c r="J83" s="44">
        <f t="shared" si="22"/>
        <v>0</v>
      </c>
      <c r="K83" s="199"/>
      <c r="L83" s="39"/>
      <c r="M83" s="44">
        <f t="shared" si="23"/>
        <v>0</v>
      </c>
      <c r="N83" s="199"/>
      <c r="O83" s="39"/>
      <c r="P83" s="44">
        <f t="shared" si="24"/>
        <v>0</v>
      </c>
      <c r="Q83" s="199"/>
      <c r="R83" s="39"/>
      <c r="S83" s="44">
        <f t="shared" si="25"/>
        <v>0</v>
      </c>
      <c r="T83" s="199"/>
      <c r="U83" s="39"/>
      <c r="V83" s="44">
        <f t="shared" si="26"/>
        <v>0</v>
      </c>
      <c r="W83" s="199"/>
      <c r="X83" s="39"/>
      <c r="Y83" s="44">
        <f t="shared" si="27"/>
        <v>0</v>
      </c>
      <c r="Z83" s="199"/>
      <c r="AA83" s="39"/>
      <c r="AB83" s="44">
        <f t="shared" si="28"/>
        <v>0</v>
      </c>
      <c r="AC83" s="199"/>
      <c r="AD83" s="39"/>
      <c r="AE83" s="44">
        <f t="shared" si="29"/>
        <v>0</v>
      </c>
      <c r="AF83" s="199"/>
      <c r="AG83" s="39"/>
      <c r="AH83" s="44">
        <f t="shared" si="30"/>
        <v>0</v>
      </c>
    </row>
    <row r="84" spans="3:34">
      <c r="C84" s="28" t="str">
        <f>'MP Calculations'!D111</f>
        <v>2067-68</v>
      </c>
      <c r="D84" s="44"/>
      <c r="E84" s="199"/>
      <c r="F84" s="39"/>
      <c r="G84" s="44">
        <f t="shared" si="21"/>
        <v>0</v>
      </c>
      <c r="H84" s="199"/>
      <c r="I84" s="39"/>
      <c r="J84" s="44">
        <f t="shared" si="22"/>
        <v>0</v>
      </c>
      <c r="K84" s="199"/>
      <c r="L84" s="39"/>
      <c r="M84" s="44">
        <f t="shared" si="23"/>
        <v>0</v>
      </c>
      <c r="N84" s="199"/>
      <c r="O84" s="39"/>
      <c r="P84" s="44">
        <f t="shared" si="24"/>
        <v>0</v>
      </c>
      <c r="Q84" s="199"/>
      <c r="R84" s="39"/>
      <c r="S84" s="44">
        <f t="shared" si="25"/>
        <v>0</v>
      </c>
      <c r="T84" s="199"/>
      <c r="U84" s="39"/>
      <c r="V84" s="44">
        <f t="shared" si="26"/>
        <v>0</v>
      </c>
      <c r="W84" s="199"/>
      <c r="X84" s="39"/>
      <c r="Y84" s="44">
        <f t="shared" si="27"/>
        <v>0</v>
      </c>
      <c r="Z84" s="199"/>
      <c r="AA84" s="39"/>
      <c r="AB84" s="44">
        <f t="shared" si="28"/>
        <v>0</v>
      </c>
      <c r="AC84" s="199"/>
      <c r="AD84" s="39"/>
      <c r="AE84" s="44">
        <f t="shared" si="29"/>
        <v>0</v>
      </c>
      <c r="AF84" s="199"/>
      <c r="AG84" s="39"/>
      <c r="AH84" s="44">
        <f t="shared" si="30"/>
        <v>0</v>
      </c>
    </row>
    <row r="85" spans="3:34">
      <c r="C85" s="28" t="str">
        <f>'MP Calculations'!D112</f>
        <v>2068-69</v>
      </c>
      <c r="D85" s="44"/>
      <c r="E85" s="199"/>
      <c r="F85" s="39"/>
      <c r="G85" s="44">
        <f t="shared" si="21"/>
        <v>0</v>
      </c>
      <c r="H85" s="199"/>
      <c r="I85" s="39"/>
      <c r="J85" s="44">
        <f t="shared" si="22"/>
        <v>0</v>
      </c>
      <c r="K85" s="199"/>
      <c r="L85" s="39"/>
      <c r="M85" s="44">
        <f t="shared" si="23"/>
        <v>0</v>
      </c>
      <c r="N85" s="199"/>
      <c r="O85" s="39"/>
      <c r="P85" s="44">
        <f t="shared" si="24"/>
        <v>0</v>
      </c>
      <c r="Q85" s="199"/>
      <c r="R85" s="39"/>
      <c r="S85" s="44">
        <f t="shared" si="25"/>
        <v>0</v>
      </c>
      <c r="T85" s="199"/>
      <c r="U85" s="39"/>
      <c r="V85" s="44">
        <f t="shared" si="26"/>
        <v>0</v>
      </c>
      <c r="W85" s="199"/>
      <c r="X85" s="39"/>
      <c r="Y85" s="44">
        <f t="shared" si="27"/>
        <v>0</v>
      </c>
      <c r="Z85" s="199"/>
      <c r="AA85" s="39"/>
      <c r="AB85" s="44">
        <f t="shared" si="28"/>
        <v>0</v>
      </c>
      <c r="AC85" s="199"/>
      <c r="AD85" s="39"/>
      <c r="AE85" s="44">
        <f t="shared" si="29"/>
        <v>0</v>
      </c>
      <c r="AF85" s="199"/>
      <c r="AG85" s="39"/>
      <c r="AH85" s="44">
        <f t="shared" si="30"/>
        <v>0</v>
      </c>
    </row>
    <row r="86" spans="3:34">
      <c r="C86" s="28" t="str">
        <f>'MP Calculations'!D113</f>
        <v>2069-70</v>
      </c>
      <c r="D86" s="44"/>
      <c r="E86" s="199"/>
      <c r="F86" s="39"/>
      <c r="G86" s="44">
        <f t="shared" si="21"/>
        <v>0</v>
      </c>
      <c r="H86" s="199"/>
      <c r="I86" s="39"/>
      <c r="J86" s="44">
        <f t="shared" si="22"/>
        <v>0</v>
      </c>
      <c r="K86" s="199"/>
      <c r="L86" s="39"/>
      <c r="M86" s="44">
        <f t="shared" si="23"/>
        <v>0</v>
      </c>
      <c r="N86" s="199"/>
      <c r="O86" s="39"/>
      <c r="P86" s="44">
        <f t="shared" si="24"/>
        <v>0</v>
      </c>
      <c r="Q86" s="199"/>
      <c r="R86" s="39"/>
      <c r="S86" s="44">
        <f t="shared" si="25"/>
        <v>0</v>
      </c>
      <c r="T86" s="199"/>
      <c r="U86" s="39"/>
      <c r="V86" s="44">
        <f t="shared" si="26"/>
        <v>0</v>
      </c>
      <c r="W86" s="199"/>
      <c r="X86" s="39"/>
      <c r="Y86" s="44">
        <f t="shared" si="27"/>
        <v>0</v>
      </c>
      <c r="Z86" s="199"/>
      <c r="AA86" s="39"/>
      <c r="AB86" s="44">
        <f t="shared" si="28"/>
        <v>0</v>
      </c>
      <c r="AC86" s="199"/>
      <c r="AD86" s="39"/>
      <c r="AE86" s="44">
        <f t="shared" si="29"/>
        <v>0</v>
      </c>
      <c r="AF86" s="199"/>
      <c r="AG86" s="39"/>
      <c r="AH86" s="44">
        <f t="shared" si="30"/>
        <v>0</v>
      </c>
    </row>
    <row r="87" spans="3:34">
      <c r="C87" s="28" t="str">
        <f>'MP Calculations'!D114</f>
        <v>2070-71</v>
      </c>
      <c r="D87" s="44"/>
      <c r="E87" s="199"/>
      <c r="F87" s="39"/>
      <c r="G87" s="44">
        <f t="shared" si="21"/>
        <v>0</v>
      </c>
      <c r="H87" s="199"/>
      <c r="I87" s="39"/>
      <c r="J87" s="44">
        <f t="shared" si="22"/>
        <v>0</v>
      </c>
      <c r="K87" s="199"/>
      <c r="L87" s="39"/>
      <c r="M87" s="44">
        <f t="shared" si="23"/>
        <v>0</v>
      </c>
      <c r="N87" s="199"/>
      <c r="O87" s="39"/>
      <c r="P87" s="44">
        <f t="shared" si="24"/>
        <v>0</v>
      </c>
      <c r="Q87" s="199"/>
      <c r="R87" s="39"/>
      <c r="S87" s="44">
        <f t="shared" si="25"/>
        <v>0</v>
      </c>
      <c r="T87" s="199"/>
      <c r="U87" s="39"/>
      <c r="V87" s="44">
        <f t="shared" si="26"/>
        <v>0</v>
      </c>
      <c r="W87" s="199"/>
      <c r="X87" s="39"/>
      <c r="Y87" s="44">
        <f t="shared" si="27"/>
        <v>0</v>
      </c>
      <c r="Z87" s="199"/>
      <c r="AA87" s="39"/>
      <c r="AB87" s="44">
        <f t="shared" si="28"/>
        <v>0</v>
      </c>
      <c r="AC87" s="199"/>
      <c r="AD87" s="39"/>
      <c r="AE87" s="44">
        <f t="shared" si="29"/>
        <v>0</v>
      </c>
      <c r="AF87" s="199"/>
      <c r="AG87" s="39"/>
      <c r="AH87" s="44">
        <f t="shared" si="30"/>
        <v>0</v>
      </c>
    </row>
    <row r="88" spans="3:34">
      <c r="C88" s="28" t="str">
        <f>'MP Calculations'!D115</f>
        <v>2071-72</v>
      </c>
      <c r="D88" s="44"/>
      <c r="E88" s="199"/>
      <c r="F88" s="39"/>
      <c r="G88" s="44">
        <f t="shared" si="21"/>
        <v>0</v>
      </c>
      <c r="H88" s="199"/>
      <c r="I88" s="39"/>
      <c r="J88" s="44">
        <f t="shared" si="22"/>
        <v>0</v>
      </c>
      <c r="K88" s="199"/>
      <c r="L88" s="39"/>
      <c r="M88" s="44">
        <f t="shared" si="23"/>
        <v>0</v>
      </c>
      <c r="N88" s="199"/>
      <c r="O88" s="39"/>
      <c r="P88" s="44">
        <f t="shared" si="24"/>
        <v>0</v>
      </c>
      <c r="Q88" s="199"/>
      <c r="R88" s="39"/>
      <c r="S88" s="44">
        <f t="shared" si="25"/>
        <v>0</v>
      </c>
      <c r="T88" s="199"/>
      <c r="U88" s="39"/>
      <c r="V88" s="44">
        <f t="shared" si="26"/>
        <v>0</v>
      </c>
      <c r="W88" s="199"/>
      <c r="X88" s="39"/>
      <c r="Y88" s="44">
        <f t="shared" si="27"/>
        <v>0</v>
      </c>
      <c r="Z88" s="199"/>
      <c r="AA88" s="39"/>
      <c r="AB88" s="44">
        <f t="shared" si="28"/>
        <v>0</v>
      </c>
      <c r="AC88" s="199"/>
      <c r="AD88" s="39"/>
      <c r="AE88" s="44">
        <f t="shared" si="29"/>
        <v>0</v>
      </c>
      <c r="AF88" s="199"/>
      <c r="AG88" s="39"/>
      <c r="AH88" s="44">
        <f t="shared" si="30"/>
        <v>0</v>
      </c>
    </row>
    <row r="89" spans="3:34">
      <c r="C89" s="28" t="str">
        <f>'MP Calculations'!D116</f>
        <v>2072-73</v>
      </c>
      <c r="D89" s="44"/>
      <c r="E89" s="199"/>
      <c r="F89" s="39"/>
      <c r="G89" s="44">
        <f t="shared" si="21"/>
        <v>0</v>
      </c>
      <c r="H89" s="199"/>
      <c r="I89" s="39"/>
      <c r="J89" s="44">
        <f t="shared" si="22"/>
        <v>0</v>
      </c>
      <c r="K89" s="199"/>
      <c r="L89" s="39"/>
      <c r="M89" s="44">
        <f t="shared" si="23"/>
        <v>0</v>
      </c>
      <c r="N89" s="199"/>
      <c r="O89" s="39"/>
      <c r="P89" s="44">
        <f t="shared" si="24"/>
        <v>0</v>
      </c>
      <c r="Q89" s="199"/>
      <c r="R89" s="39"/>
      <c r="S89" s="44">
        <f t="shared" si="25"/>
        <v>0</v>
      </c>
      <c r="T89" s="199"/>
      <c r="U89" s="39"/>
      <c r="V89" s="44">
        <f t="shared" si="26"/>
        <v>0</v>
      </c>
      <c r="W89" s="199"/>
      <c r="X89" s="39"/>
      <c r="Y89" s="44">
        <f t="shared" si="27"/>
        <v>0</v>
      </c>
      <c r="Z89" s="199"/>
      <c r="AA89" s="39"/>
      <c r="AB89" s="44">
        <f t="shared" si="28"/>
        <v>0</v>
      </c>
      <c r="AC89" s="199"/>
      <c r="AD89" s="39"/>
      <c r="AE89" s="44">
        <f t="shared" si="29"/>
        <v>0</v>
      </c>
      <c r="AF89" s="199"/>
      <c r="AG89" s="39"/>
      <c r="AH89" s="44">
        <f t="shared" si="30"/>
        <v>0</v>
      </c>
    </row>
    <row r="90" spans="3:34">
      <c r="C90" s="28" t="str">
        <f>'MP Calculations'!D117</f>
        <v>2073-74</v>
      </c>
      <c r="D90" s="44"/>
      <c r="E90" s="199"/>
      <c r="F90" s="39"/>
      <c r="G90" s="44">
        <f t="shared" si="21"/>
        <v>0</v>
      </c>
      <c r="H90" s="199"/>
      <c r="I90" s="39"/>
      <c r="J90" s="44">
        <f t="shared" si="22"/>
        <v>0</v>
      </c>
      <c r="K90" s="199"/>
      <c r="L90" s="39"/>
      <c r="M90" s="44">
        <f t="shared" si="23"/>
        <v>0</v>
      </c>
      <c r="N90" s="199"/>
      <c r="O90" s="39"/>
      <c r="P90" s="44">
        <f t="shared" si="24"/>
        <v>0</v>
      </c>
      <c r="Q90" s="199"/>
      <c r="R90" s="39"/>
      <c r="S90" s="44">
        <f t="shared" si="25"/>
        <v>0</v>
      </c>
      <c r="T90" s="199"/>
      <c r="U90" s="39"/>
      <c r="V90" s="44">
        <f t="shared" si="26"/>
        <v>0</v>
      </c>
      <c r="W90" s="199"/>
      <c r="X90" s="39"/>
      <c r="Y90" s="44">
        <f t="shared" si="27"/>
        <v>0</v>
      </c>
      <c r="Z90" s="199"/>
      <c r="AA90" s="39"/>
      <c r="AB90" s="44">
        <f t="shared" si="28"/>
        <v>0</v>
      </c>
      <c r="AC90" s="199"/>
      <c r="AD90" s="39"/>
      <c r="AE90" s="44">
        <f t="shared" si="29"/>
        <v>0</v>
      </c>
      <c r="AF90" s="199"/>
      <c r="AG90" s="39"/>
      <c r="AH90" s="44">
        <f t="shared" si="30"/>
        <v>0</v>
      </c>
    </row>
    <row r="91" spans="3:34">
      <c r="C91" s="28" t="str">
        <f>'MP Calculations'!D118</f>
        <v>2074-75</v>
      </c>
      <c r="D91" s="44"/>
      <c r="E91" s="199"/>
      <c r="F91" s="39"/>
      <c r="G91" s="44">
        <f t="shared" si="21"/>
        <v>0</v>
      </c>
      <c r="H91" s="199"/>
      <c r="I91" s="39"/>
      <c r="J91" s="44">
        <f t="shared" si="22"/>
        <v>0</v>
      </c>
      <c r="K91" s="199"/>
      <c r="L91" s="39"/>
      <c r="M91" s="44">
        <f t="shared" si="23"/>
        <v>0</v>
      </c>
      <c r="N91" s="199"/>
      <c r="O91" s="39"/>
      <c r="P91" s="44">
        <f t="shared" si="24"/>
        <v>0</v>
      </c>
      <c r="Q91" s="199"/>
      <c r="R91" s="39"/>
      <c r="S91" s="44">
        <f t="shared" si="25"/>
        <v>0</v>
      </c>
      <c r="T91" s="199"/>
      <c r="U91" s="39"/>
      <c r="V91" s="44">
        <f t="shared" si="26"/>
        <v>0</v>
      </c>
      <c r="W91" s="199"/>
      <c r="X91" s="39"/>
      <c r="Y91" s="44">
        <f t="shared" si="27"/>
        <v>0</v>
      </c>
      <c r="Z91" s="199"/>
      <c r="AA91" s="39"/>
      <c r="AB91" s="44">
        <f t="shared" si="28"/>
        <v>0</v>
      </c>
      <c r="AC91" s="199"/>
      <c r="AD91" s="39"/>
      <c r="AE91" s="44">
        <f t="shared" si="29"/>
        <v>0</v>
      </c>
      <c r="AF91" s="199"/>
      <c r="AG91" s="39"/>
      <c r="AH91" s="44">
        <f t="shared" si="30"/>
        <v>0</v>
      </c>
    </row>
    <row r="92" spans="3:34">
      <c r="C92" s="28" t="str">
        <f>'MP Calculations'!D119</f>
        <v>2075-76</v>
      </c>
      <c r="D92" s="44"/>
      <c r="E92" s="199"/>
      <c r="F92" s="39"/>
      <c r="G92" s="44">
        <f t="shared" si="21"/>
        <v>0</v>
      </c>
      <c r="H92" s="199"/>
      <c r="I92" s="39"/>
      <c r="J92" s="44">
        <f t="shared" si="22"/>
        <v>0</v>
      </c>
      <c r="K92" s="199"/>
      <c r="L92" s="39"/>
      <c r="M92" s="44">
        <f t="shared" si="23"/>
        <v>0</v>
      </c>
      <c r="N92" s="199"/>
      <c r="O92" s="39"/>
      <c r="P92" s="44">
        <f t="shared" si="24"/>
        <v>0</v>
      </c>
      <c r="Q92" s="199"/>
      <c r="R92" s="39"/>
      <c r="S92" s="44">
        <f t="shared" si="25"/>
        <v>0</v>
      </c>
      <c r="T92" s="199"/>
      <c r="U92" s="39"/>
      <c r="V92" s="44">
        <f t="shared" si="26"/>
        <v>0</v>
      </c>
      <c r="W92" s="199"/>
      <c r="X92" s="39"/>
      <c r="Y92" s="44">
        <f t="shared" si="27"/>
        <v>0</v>
      </c>
      <c r="Z92" s="199"/>
      <c r="AA92" s="39"/>
      <c r="AB92" s="44">
        <f t="shared" si="28"/>
        <v>0</v>
      </c>
      <c r="AC92" s="199"/>
      <c r="AD92" s="39"/>
      <c r="AE92" s="44">
        <f t="shared" si="29"/>
        <v>0</v>
      </c>
      <c r="AF92" s="199"/>
      <c r="AG92" s="39"/>
      <c r="AH92" s="44">
        <f t="shared" si="30"/>
        <v>0</v>
      </c>
    </row>
    <row r="93" spans="3:34">
      <c r="C93" s="28" t="str">
        <f>'MP Calculations'!D120</f>
        <v>2076-77</v>
      </c>
      <c r="D93" s="44"/>
      <c r="E93" s="199"/>
      <c r="F93" s="39"/>
      <c r="G93" s="44">
        <f t="shared" si="21"/>
        <v>0</v>
      </c>
      <c r="H93" s="199"/>
      <c r="I93" s="39"/>
      <c r="J93" s="44">
        <f t="shared" si="22"/>
        <v>0</v>
      </c>
      <c r="K93" s="199"/>
      <c r="L93" s="39"/>
      <c r="M93" s="44">
        <f t="shared" si="23"/>
        <v>0</v>
      </c>
      <c r="N93" s="199"/>
      <c r="O93" s="39"/>
      <c r="P93" s="44">
        <f t="shared" si="24"/>
        <v>0</v>
      </c>
      <c r="Q93" s="199"/>
      <c r="R93" s="39"/>
      <c r="S93" s="44">
        <f t="shared" si="25"/>
        <v>0</v>
      </c>
      <c r="T93" s="199"/>
      <c r="U93" s="39"/>
      <c r="V93" s="44">
        <f t="shared" si="26"/>
        <v>0</v>
      </c>
      <c r="W93" s="199"/>
      <c r="X93" s="39"/>
      <c r="Y93" s="44">
        <f t="shared" si="27"/>
        <v>0</v>
      </c>
      <c r="Z93" s="199"/>
      <c r="AA93" s="39"/>
      <c r="AB93" s="44">
        <f t="shared" si="28"/>
        <v>0</v>
      </c>
      <c r="AC93" s="199"/>
      <c r="AD93" s="39"/>
      <c r="AE93" s="44">
        <f t="shared" si="29"/>
        <v>0</v>
      </c>
      <c r="AF93" s="199"/>
      <c r="AG93" s="39"/>
      <c r="AH93" s="44">
        <f t="shared" si="30"/>
        <v>0</v>
      </c>
    </row>
    <row r="94" spans="3:34">
      <c r="C94" s="28" t="str">
        <f>'MP Calculations'!D121</f>
        <v>2077-78</v>
      </c>
      <c r="D94" s="44"/>
      <c r="E94" s="199"/>
      <c r="F94" s="39"/>
      <c r="G94" s="44">
        <f t="shared" si="21"/>
        <v>0</v>
      </c>
      <c r="H94" s="199"/>
      <c r="I94" s="39"/>
      <c r="J94" s="44">
        <f t="shared" si="22"/>
        <v>0</v>
      </c>
      <c r="K94" s="199"/>
      <c r="L94" s="39"/>
      <c r="M94" s="44">
        <f t="shared" si="23"/>
        <v>0</v>
      </c>
      <c r="N94" s="199"/>
      <c r="O94" s="39"/>
      <c r="P94" s="44">
        <f t="shared" si="24"/>
        <v>0</v>
      </c>
      <c r="Q94" s="199"/>
      <c r="R94" s="39"/>
      <c r="S94" s="44">
        <f t="shared" si="25"/>
        <v>0</v>
      </c>
      <c r="T94" s="199"/>
      <c r="U94" s="39"/>
      <c r="V94" s="44">
        <f t="shared" si="26"/>
        <v>0</v>
      </c>
      <c r="W94" s="199"/>
      <c r="X94" s="39"/>
      <c r="Y94" s="44">
        <f t="shared" si="27"/>
        <v>0</v>
      </c>
      <c r="Z94" s="199"/>
      <c r="AA94" s="39"/>
      <c r="AB94" s="44">
        <f t="shared" si="28"/>
        <v>0</v>
      </c>
      <c r="AC94" s="199"/>
      <c r="AD94" s="39"/>
      <c r="AE94" s="44">
        <f t="shared" si="29"/>
        <v>0</v>
      </c>
      <c r="AF94" s="199"/>
      <c r="AG94" s="39"/>
      <c r="AH94" s="44">
        <f t="shared" si="30"/>
        <v>0</v>
      </c>
    </row>
    <row r="95" spans="3:34">
      <c r="C95" s="28" t="str">
        <f>'MP Calculations'!D122</f>
        <v>2078-79</v>
      </c>
      <c r="D95" s="44"/>
      <c r="E95" s="199"/>
      <c r="F95" s="39"/>
      <c r="G95" s="44">
        <f t="shared" si="21"/>
        <v>0</v>
      </c>
      <c r="H95" s="199"/>
      <c r="I95" s="39"/>
      <c r="J95" s="44">
        <f t="shared" si="22"/>
        <v>0</v>
      </c>
      <c r="K95" s="199"/>
      <c r="L95" s="39"/>
      <c r="M95" s="44">
        <f t="shared" si="23"/>
        <v>0</v>
      </c>
      <c r="N95" s="199"/>
      <c r="O95" s="39"/>
      <c r="P95" s="44">
        <f t="shared" si="24"/>
        <v>0</v>
      </c>
      <c r="Q95" s="199"/>
      <c r="R95" s="39"/>
      <c r="S95" s="44">
        <f t="shared" si="25"/>
        <v>0</v>
      </c>
      <c r="T95" s="199"/>
      <c r="U95" s="39"/>
      <c r="V95" s="44">
        <f t="shared" si="26"/>
        <v>0</v>
      </c>
      <c r="W95" s="199"/>
      <c r="X95" s="39"/>
      <c r="Y95" s="44">
        <f t="shared" si="27"/>
        <v>0</v>
      </c>
      <c r="Z95" s="199"/>
      <c r="AA95" s="39"/>
      <c r="AB95" s="44">
        <f t="shared" si="28"/>
        <v>0</v>
      </c>
      <c r="AC95" s="199"/>
      <c r="AD95" s="39"/>
      <c r="AE95" s="44">
        <f t="shared" si="29"/>
        <v>0</v>
      </c>
      <c r="AF95" s="199"/>
      <c r="AG95" s="39"/>
      <c r="AH95" s="44">
        <f t="shared" si="30"/>
        <v>0</v>
      </c>
    </row>
    <row r="96" spans="3:34">
      <c r="C96" s="28" t="str">
        <f>'MP Calculations'!D123</f>
        <v>2079-80</v>
      </c>
      <c r="D96" s="44"/>
      <c r="E96" s="199"/>
      <c r="F96" s="39"/>
      <c r="G96" s="44">
        <f t="shared" si="21"/>
        <v>0</v>
      </c>
      <c r="H96" s="199"/>
      <c r="I96" s="39"/>
      <c r="J96" s="44">
        <f t="shared" si="22"/>
        <v>0</v>
      </c>
      <c r="K96" s="199"/>
      <c r="L96" s="39"/>
      <c r="M96" s="44">
        <f t="shared" si="23"/>
        <v>0</v>
      </c>
      <c r="N96" s="199"/>
      <c r="O96" s="39"/>
      <c r="P96" s="44">
        <f t="shared" si="24"/>
        <v>0</v>
      </c>
      <c r="Q96" s="199"/>
      <c r="R96" s="39"/>
      <c r="S96" s="44">
        <f t="shared" si="25"/>
        <v>0</v>
      </c>
      <c r="T96" s="199"/>
      <c r="U96" s="39"/>
      <c r="V96" s="44">
        <f t="shared" si="26"/>
        <v>0</v>
      </c>
      <c r="W96" s="199"/>
      <c r="X96" s="39"/>
      <c r="Y96" s="44">
        <f t="shared" si="27"/>
        <v>0</v>
      </c>
      <c r="Z96" s="199"/>
      <c r="AA96" s="39"/>
      <c r="AB96" s="44">
        <f t="shared" si="28"/>
        <v>0</v>
      </c>
      <c r="AC96" s="199"/>
      <c r="AD96" s="39"/>
      <c r="AE96" s="44">
        <f t="shared" si="29"/>
        <v>0</v>
      </c>
      <c r="AF96" s="199"/>
      <c r="AG96" s="39"/>
      <c r="AH96" s="44">
        <f t="shared" si="30"/>
        <v>0</v>
      </c>
    </row>
    <row r="97" spans="3:34">
      <c r="C97" s="28" t="str">
        <f>'MP Calculations'!D124</f>
        <v>2080-81</v>
      </c>
      <c r="D97" s="44"/>
      <c r="E97" s="199"/>
      <c r="F97" s="39"/>
      <c r="G97" s="44">
        <f t="shared" si="21"/>
        <v>0</v>
      </c>
      <c r="H97" s="199"/>
      <c r="I97" s="39"/>
      <c r="J97" s="44">
        <f t="shared" si="22"/>
        <v>0</v>
      </c>
      <c r="K97" s="199"/>
      <c r="L97" s="39"/>
      <c r="M97" s="44">
        <f t="shared" si="23"/>
        <v>0</v>
      </c>
      <c r="N97" s="199"/>
      <c r="O97" s="39"/>
      <c r="P97" s="44">
        <f t="shared" si="24"/>
        <v>0</v>
      </c>
      <c r="Q97" s="199"/>
      <c r="R97" s="39"/>
      <c r="S97" s="44">
        <f t="shared" si="25"/>
        <v>0</v>
      </c>
      <c r="T97" s="199"/>
      <c r="U97" s="39"/>
      <c r="V97" s="44">
        <f t="shared" si="26"/>
        <v>0</v>
      </c>
      <c r="W97" s="199"/>
      <c r="X97" s="39"/>
      <c r="Y97" s="44">
        <f t="shared" si="27"/>
        <v>0</v>
      </c>
      <c r="Z97" s="199"/>
      <c r="AA97" s="39"/>
      <c r="AB97" s="44">
        <f t="shared" si="28"/>
        <v>0</v>
      </c>
      <c r="AC97" s="199"/>
      <c r="AD97" s="39"/>
      <c r="AE97" s="44">
        <f t="shared" si="29"/>
        <v>0</v>
      </c>
      <c r="AF97" s="199"/>
      <c r="AG97" s="39"/>
      <c r="AH97" s="44">
        <f t="shared" si="30"/>
        <v>0</v>
      </c>
    </row>
    <row r="98" spans="3:34">
      <c r="C98" s="28" t="str">
        <f>'MP Calculations'!D125</f>
        <v>2081-82</v>
      </c>
      <c r="D98" s="44"/>
      <c r="E98" s="199"/>
      <c r="F98" s="39"/>
      <c r="G98" s="44">
        <f t="shared" si="21"/>
        <v>0</v>
      </c>
      <c r="H98" s="199"/>
      <c r="I98" s="39"/>
      <c r="J98" s="44">
        <f t="shared" si="22"/>
        <v>0</v>
      </c>
      <c r="K98" s="199"/>
      <c r="L98" s="39"/>
      <c r="M98" s="44">
        <f t="shared" si="23"/>
        <v>0</v>
      </c>
      <c r="N98" s="199"/>
      <c r="O98" s="39"/>
      <c r="P98" s="44">
        <f t="shared" si="24"/>
        <v>0</v>
      </c>
      <c r="Q98" s="199"/>
      <c r="R98" s="39"/>
      <c r="S98" s="44">
        <f t="shared" si="25"/>
        <v>0</v>
      </c>
      <c r="T98" s="199"/>
      <c r="U98" s="39"/>
      <c r="V98" s="44">
        <f t="shared" si="26"/>
        <v>0</v>
      </c>
      <c r="W98" s="199"/>
      <c r="X98" s="39"/>
      <c r="Y98" s="44">
        <f t="shared" si="27"/>
        <v>0</v>
      </c>
      <c r="Z98" s="199"/>
      <c r="AA98" s="39"/>
      <c r="AB98" s="44">
        <f t="shared" si="28"/>
        <v>0</v>
      </c>
      <c r="AC98" s="199"/>
      <c r="AD98" s="39"/>
      <c r="AE98" s="44">
        <f t="shared" si="29"/>
        <v>0</v>
      </c>
      <c r="AF98" s="199"/>
      <c r="AG98" s="39"/>
      <c r="AH98" s="44">
        <f t="shared" si="30"/>
        <v>0</v>
      </c>
    </row>
    <row r="99" spans="3:34">
      <c r="C99" s="28" t="str">
        <f>'MP Calculations'!D126</f>
        <v>2082-83</v>
      </c>
      <c r="D99" s="44"/>
      <c r="E99" s="199"/>
      <c r="F99" s="39"/>
      <c r="G99" s="44">
        <f t="shared" si="21"/>
        <v>0</v>
      </c>
      <c r="H99" s="199"/>
      <c r="I99" s="39"/>
      <c r="J99" s="44">
        <f t="shared" si="22"/>
        <v>0</v>
      </c>
      <c r="K99" s="199"/>
      <c r="L99" s="39"/>
      <c r="M99" s="44">
        <f t="shared" si="23"/>
        <v>0</v>
      </c>
      <c r="N99" s="199"/>
      <c r="O99" s="39"/>
      <c r="P99" s="44">
        <f t="shared" si="24"/>
        <v>0</v>
      </c>
      <c r="Q99" s="199"/>
      <c r="R99" s="39"/>
      <c r="S99" s="44">
        <f t="shared" si="25"/>
        <v>0</v>
      </c>
      <c r="T99" s="199"/>
      <c r="U99" s="39"/>
      <c r="V99" s="44">
        <f t="shared" si="26"/>
        <v>0</v>
      </c>
      <c r="W99" s="199"/>
      <c r="X99" s="39"/>
      <c r="Y99" s="44">
        <f t="shared" si="27"/>
        <v>0</v>
      </c>
      <c r="Z99" s="199"/>
      <c r="AA99" s="39"/>
      <c r="AB99" s="44">
        <f t="shared" si="28"/>
        <v>0</v>
      </c>
      <c r="AC99" s="199"/>
      <c r="AD99" s="39"/>
      <c r="AE99" s="44">
        <f t="shared" si="29"/>
        <v>0</v>
      </c>
      <c r="AF99" s="199"/>
      <c r="AG99" s="39"/>
      <c r="AH99" s="44">
        <f t="shared" si="30"/>
        <v>0</v>
      </c>
    </row>
    <row r="100" spans="3:34">
      <c r="C100" s="28" t="str">
        <f>'MP Calculations'!D127</f>
        <v>2083-84</v>
      </c>
      <c r="D100" s="44"/>
      <c r="E100" s="199"/>
      <c r="F100" s="39"/>
      <c r="G100" s="44">
        <f t="shared" si="21"/>
        <v>0</v>
      </c>
      <c r="H100" s="199"/>
      <c r="I100" s="39"/>
      <c r="J100" s="44">
        <f t="shared" si="22"/>
        <v>0</v>
      </c>
      <c r="K100" s="199"/>
      <c r="L100" s="39"/>
      <c r="M100" s="44">
        <f t="shared" si="23"/>
        <v>0</v>
      </c>
      <c r="N100" s="199"/>
      <c r="O100" s="39"/>
      <c r="P100" s="44">
        <f t="shared" si="24"/>
        <v>0</v>
      </c>
      <c r="Q100" s="199"/>
      <c r="R100" s="39"/>
      <c r="S100" s="44">
        <f t="shared" si="25"/>
        <v>0</v>
      </c>
      <c r="T100" s="199"/>
      <c r="U100" s="39"/>
      <c r="V100" s="44">
        <f t="shared" si="26"/>
        <v>0</v>
      </c>
      <c r="W100" s="199"/>
      <c r="X100" s="39"/>
      <c r="Y100" s="44">
        <f t="shared" si="27"/>
        <v>0</v>
      </c>
      <c r="Z100" s="199"/>
      <c r="AA100" s="39"/>
      <c r="AB100" s="44">
        <f t="shared" si="28"/>
        <v>0</v>
      </c>
      <c r="AC100" s="199"/>
      <c r="AD100" s="39"/>
      <c r="AE100" s="44">
        <f t="shared" si="29"/>
        <v>0</v>
      </c>
      <c r="AF100" s="199"/>
      <c r="AG100" s="39"/>
      <c r="AH100" s="44">
        <f t="shared" si="30"/>
        <v>0</v>
      </c>
    </row>
    <row r="101" spans="3:34">
      <c r="C101" s="28" t="str">
        <f>'MP Calculations'!D128</f>
        <v>2084-85</v>
      </c>
      <c r="D101" s="44"/>
      <c r="E101" s="199"/>
      <c r="F101" s="39"/>
      <c r="G101" s="44">
        <f t="shared" si="21"/>
        <v>0</v>
      </c>
      <c r="H101" s="199"/>
      <c r="I101" s="39"/>
      <c r="J101" s="44">
        <f t="shared" si="22"/>
        <v>0</v>
      </c>
      <c r="K101" s="199"/>
      <c r="L101" s="39"/>
      <c r="M101" s="44">
        <f t="shared" si="23"/>
        <v>0</v>
      </c>
      <c r="N101" s="199"/>
      <c r="O101" s="39"/>
      <c r="P101" s="44">
        <f t="shared" si="24"/>
        <v>0</v>
      </c>
      <c r="Q101" s="199"/>
      <c r="R101" s="39"/>
      <c r="S101" s="44">
        <f t="shared" si="25"/>
        <v>0</v>
      </c>
      <c r="T101" s="199"/>
      <c r="U101" s="39"/>
      <c r="V101" s="44">
        <f t="shared" si="26"/>
        <v>0</v>
      </c>
      <c r="W101" s="199"/>
      <c r="X101" s="39"/>
      <c r="Y101" s="44">
        <f t="shared" si="27"/>
        <v>0</v>
      </c>
      <c r="Z101" s="199"/>
      <c r="AA101" s="39"/>
      <c r="AB101" s="44">
        <f t="shared" si="28"/>
        <v>0</v>
      </c>
      <c r="AC101" s="199"/>
      <c r="AD101" s="39"/>
      <c r="AE101" s="44">
        <f t="shared" si="29"/>
        <v>0</v>
      </c>
      <c r="AF101" s="199"/>
      <c r="AG101" s="39"/>
      <c r="AH101" s="44">
        <f t="shared" si="30"/>
        <v>0</v>
      </c>
    </row>
    <row r="102" spans="3:34">
      <c r="C102" s="28" t="str">
        <f>'MP Calculations'!D129</f>
        <v>2085-86</v>
      </c>
      <c r="D102" s="44"/>
      <c r="E102" s="199"/>
      <c r="F102" s="39"/>
      <c r="G102" s="44">
        <f t="shared" si="21"/>
        <v>0</v>
      </c>
      <c r="H102" s="199"/>
      <c r="I102" s="39"/>
      <c r="J102" s="44">
        <f t="shared" si="22"/>
        <v>0</v>
      </c>
      <c r="K102" s="199"/>
      <c r="L102" s="39"/>
      <c r="M102" s="44">
        <f t="shared" si="23"/>
        <v>0</v>
      </c>
      <c r="N102" s="199"/>
      <c r="O102" s="39"/>
      <c r="P102" s="44">
        <f t="shared" si="24"/>
        <v>0</v>
      </c>
      <c r="Q102" s="199"/>
      <c r="R102" s="39"/>
      <c r="S102" s="44">
        <f t="shared" si="25"/>
        <v>0</v>
      </c>
      <c r="T102" s="199"/>
      <c r="U102" s="39"/>
      <c r="V102" s="44">
        <f t="shared" si="26"/>
        <v>0</v>
      </c>
      <c r="W102" s="199"/>
      <c r="X102" s="39"/>
      <c r="Y102" s="44">
        <f t="shared" si="27"/>
        <v>0</v>
      </c>
      <c r="Z102" s="199"/>
      <c r="AA102" s="39"/>
      <c r="AB102" s="44">
        <f t="shared" si="28"/>
        <v>0</v>
      </c>
      <c r="AC102" s="199"/>
      <c r="AD102" s="39"/>
      <c r="AE102" s="44">
        <f t="shared" si="29"/>
        <v>0</v>
      </c>
      <c r="AF102" s="199"/>
      <c r="AG102" s="39"/>
      <c r="AH102" s="44">
        <f t="shared" si="30"/>
        <v>0</v>
      </c>
    </row>
    <row r="103" spans="3:34">
      <c r="C103" s="199"/>
      <c r="D103" s="45"/>
      <c r="E103" s="199"/>
      <c r="F103" s="45"/>
      <c r="G103" s="45"/>
      <c r="H103" s="199"/>
      <c r="I103" s="45"/>
      <c r="J103" s="45"/>
      <c r="K103" s="199"/>
      <c r="L103" s="45"/>
      <c r="M103" s="45"/>
      <c r="N103" s="199"/>
      <c r="O103" s="45"/>
      <c r="P103" s="45"/>
      <c r="Q103" s="199"/>
      <c r="R103" s="45"/>
      <c r="S103" s="45"/>
      <c r="T103" s="199"/>
      <c r="U103" s="45"/>
      <c r="V103" s="45"/>
      <c r="W103" s="199"/>
      <c r="X103" s="45"/>
      <c r="Y103" s="45"/>
      <c r="Z103" s="199"/>
      <c r="AA103" s="45"/>
      <c r="AB103" s="45"/>
      <c r="AC103" s="199"/>
      <c r="AD103" s="45"/>
      <c r="AE103" s="45"/>
      <c r="AF103" s="199"/>
      <c r="AG103" s="45"/>
      <c r="AH103" s="45"/>
    </row>
  </sheetData>
  <sheetProtection algorithmName="SHA-512" hashValue="7i9mBD+evm4ciVmcmcKkDZ0c8fy27T8DEDzLV/BgGDrDudrp4lkRNBq1b2XYE2zi3IWDqmsAEUjuNW36tetkgA==" saltValue="SWMMjeza+fTlLRZ+JLvGhg==" spinCount="100000" sheet="1" objects="1" scenarios="1"/>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R495"/>
  <sheetViews>
    <sheetView showGridLines="0" topLeftCell="A11" workbookViewId="0">
      <pane ySplit="11" topLeftCell="A482" activePane="bottomLeft" state="frozen"/>
      <selection pane="bottomLeft" activeCell="D504" sqref="D504"/>
      <selection activeCell="A11" sqref="A11"/>
    </sheetView>
  </sheetViews>
  <sheetFormatPr defaultRowHeight="1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hidden="1" customWidth="1"/>
    <col min="14" max="14" width="18" hidden="1" customWidth="1"/>
    <col min="15" max="16" width="15.7109375" customWidth="1"/>
    <col min="18" max="18" width="9.140625" customWidth="1"/>
  </cols>
  <sheetData>
    <row r="1" spans="3:8">
      <c r="C1" s="199"/>
      <c r="D1" s="199"/>
      <c r="E1" s="32"/>
      <c r="F1" s="199"/>
      <c r="G1" s="199"/>
      <c r="H1" s="199"/>
    </row>
    <row r="2" spans="3:8">
      <c r="C2" s="199"/>
      <c r="D2" s="199"/>
      <c r="E2" s="32"/>
      <c r="F2" s="32"/>
      <c r="G2" s="199"/>
      <c r="H2" s="199"/>
    </row>
    <row r="3" spans="3:8" ht="20.25">
      <c r="C3" s="58" t="s">
        <v>224</v>
      </c>
      <c r="D3" s="199"/>
      <c r="E3" s="199"/>
      <c r="F3" s="199"/>
      <c r="G3" s="199"/>
      <c r="H3" s="199"/>
    </row>
    <row r="6" spans="3:8" ht="12" customHeight="1">
      <c r="C6" s="10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199"/>
      <c r="E6" s="199"/>
      <c r="F6" s="199"/>
      <c r="G6" s="199"/>
      <c r="H6" s="199"/>
    </row>
    <row r="7" spans="3:8">
      <c r="C7" s="131" t="str">
        <f ca="1">"Hyperlink to the '"&amp;MID(CELL("filename",'Asset exclusions'!A1),FIND("]",CELL("filename",'Asset exclusions'!A1))+1,255)&amp;"' worksheet:"</f>
        <v>Hyperlink to the 'Asset exclusions' worksheet:</v>
      </c>
      <c r="D7" s="199"/>
      <c r="E7" s="166" t="s">
        <v>171</v>
      </c>
      <c r="F7" s="199"/>
      <c r="G7" s="199"/>
      <c r="H7" s="199"/>
    </row>
    <row r="8" spans="3:8">
      <c r="C8" s="131"/>
      <c r="D8" s="199"/>
      <c r="E8" s="166"/>
      <c r="F8" s="199"/>
      <c r="G8" s="199"/>
      <c r="H8" s="199"/>
    </row>
    <row r="9" spans="3:8">
      <c r="C9" s="131" t="s">
        <v>172</v>
      </c>
      <c r="D9" s="199"/>
      <c r="E9" s="166"/>
      <c r="F9" s="199"/>
      <c r="G9" s="199"/>
      <c r="H9" s="199"/>
    </row>
    <row r="10" spans="3:8">
      <c r="C10" s="131" t="s">
        <v>173</v>
      </c>
      <c r="D10" s="199"/>
      <c r="E10" s="166"/>
      <c r="F10" s="199"/>
      <c r="G10" s="199"/>
      <c r="H10" s="199"/>
    </row>
    <row r="11" spans="3:8">
      <c r="C11" s="131" t="s">
        <v>174</v>
      </c>
      <c r="D11" s="199"/>
      <c r="E11" s="166"/>
      <c r="F11" s="199"/>
      <c r="G11" s="199"/>
      <c r="H11" s="199"/>
    </row>
    <row r="12" spans="3:8">
      <c r="C12" s="131" t="s">
        <v>175</v>
      </c>
      <c r="D12" s="199"/>
      <c r="E12" s="166"/>
      <c r="F12" s="199"/>
      <c r="G12" s="199"/>
      <c r="H12" s="199"/>
    </row>
    <row r="14" spans="3:8">
      <c r="C14" s="6" t="s">
        <v>176</v>
      </c>
      <c r="D14" s="199"/>
      <c r="E14" s="199"/>
      <c r="F14" s="199"/>
      <c r="G14" s="199"/>
      <c r="H14" s="199"/>
    </row>
    <row r="15" spans="3:8">
      <c r="C15" s="65" t="s">
        <v>177</v>
      </c>
      <c r="D15" s="199"/>
      <c r="E15" s="103">
        <f>'General inputs'!$H$18+1</f>
        <v>45474</v>
      </c>
      <c r="F15" s="199"/>
      <c r="G15" s="199"/>
      <c r="H15" s="199"/>
    </row>
    <row r="16" spans="3:8">
      <c r="C16" s="65"/>
      <c r="D16" s="199"/>
      <c r="E16" s="199"/>
      <c r="F16" s="199"/>
      <c r="G16" s="199"/>
      <c r="H16" s="199" t="s">
        <v>225</v>
      </c>
    </row>
    <row r="18" spans="3:18" ht="15.75">
      <c r="C18" s="2" t="s">
        <v>226</v>
      </c>
      <c r="D18" s="199"/>
      <c r="E18" s="199"/>
      <c r="F18" s="199"/>
      <c r="G18" s="199"/>
      <c r="H18" s="199"/>
      <c r="I18" s="199"/>
      <c r="J18" s="199"/>
      <c r="K18" s="199"/>
      <c r="L18" s="199"/>
      <c r="M18" s="199"/>
      <c r="N18" s="199"/>
      <c r="O18" s="199"/>
      <c r="P18" s="199"/>
      <c r="Q18" s="199"/>
      <c r="R18" s="199"/>
    </row>
    <row r="20" spans="3:18">
      <c r="C20" s="6" t="s">
        <v>180</v>
      </c>
      <c r="D20" s="199"/>
      <c r="E20" s="199"/>
      <c r="F20" s="199"/>
      <c r="G20" s="199"/>
      <c r="H20" s="6" t="s">
        <v>181</v>
      </c>
      <c r="I20" s="199"/>
      <c r="J20" s="199"/>
      <c r="K20" s="199"/>
      <c r="L20" s="6" t="s">
        <v>182</v>
      </c>
      <c r="M20" s="6"/>
      <c r="N20" s="199"/>
      <c r="O20" s="199"/>
      <c r="P20" s="199"/>
      <c r="Q20" s="199"/>
      <c r="R20" s="199"/>
    </row>
    <row r="21" spans="3:18" ht="48">
      <c r="C21" s="24" t="s">
        <v>183</v>
      </c>
      <c r="D21" s="24" t="s">
        <v>184</v>
      </c>
      <c r="E21" s="24" t="s">
        <v>185</v>
      </c>
      <c r="F21" s="24" t="s">
        <v>195</v>
      </c>
      <c r="G21" s="199"/>
      <c r="H21" s="24" t="s">
        <v>187</v>
      </c>
      <c r="I21" s="24" t="s">
        <v>188</v>
      </c>
      <c r="J21" s="24" t="s">
        <v>189</v>
      </c>
      <c r="K21" s="199"/>
      <c r="L21" s="24" t="s">
        <v>190</v>
      </c>
      <c r="M21" s="24" t="s">
        <v>191</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c r="Q21" s="199"/>
      <c r="R21" s="199"/>
    </row>
    <row r="22" spans="3:18" ht="12" customHeight="1">
      <c r="C22" s="25"/>
      <c r="D22" s="194" t="s">
        <v>227</v>
      </c>
      <c r="E22" s="33">
        <v>45474</v>
      </c>
      <c r="F22" s="91" t="str">
        <f>IF(E22="","-",IF(E22&lt;$E$15,"ERROR - date outside of range",IF(MONTH(E22)&gt;=7,YEAR(E22)&amp;"-"&amp;RIGHT(YEAR(E22),2)+1,YEAR(E22)-1&amp;"-"&amp;RIGHT(YEAR(E22),2))))</f>
        <v>2024-25</v>
      </c>
      <c r="G22" s="199"/>
      <c r="H22" s="117" t="s">
        <v>197</v>
      </c>
      <c r="I22" s="25">
        <v>7189.7586453201966</v>
      </c>
      <c r="J22" s="100">
        <v>1</v>
      </c>
      <c r="K22" s="37"/>
      <c r="L22" s="25"/>
      <c r="M22" s="25"/>
      <c r="N22" s="25"/>
      <c r="O22" s="94">
        <v>146441.54539705164</v>
      </c>
      <c r="P22" s="96">
        <f>IF(O22="-","-",IF(E22&lt;$E$15,0,O22*J22))</f>
        <v>146441.54539705164</v>
      </c>
      <c r="Q22" s="199"/>
      <c r="R22" s="199"/>
    </row>
    <row r="23" spans="3:18">
      <c r="C23" s="26"/>
      <c r="D23" s="194" t="s">
        <v>228</v>
      </c>
      <c r="E23" s="34">
        <v>45474</v>
      </c>
      <c r="F23" s="92" t="str">
        <f t="shared" ref="F23:F87" si="0">IF(E23="","-",IF(E23&lt;$E$15,"ERROR - date outside of range",IF(MONTH(E23)&gt;=7,YEAR(E23)&amp;"-"&amp;RIGHT(YEAR(E23),2)+1,YEAR(E23)-1&amp;"-"&amp;RIGHT(YEAR(E23),2))))</f>
        <v>2024-25</v>
      </c>
      <c r="G23" s="199"/>
      <c r="H23" s="117" t="s">
        <v>197</v>
      </c>
      <c r="I23" s="26">
        <f>I22</f>
        <v>7189.7586453201966</v>
      </c>
      <c r="J23" s="100">
        <v>1</v>
      </c>
      <c r="K23" s="37"/>
      <c r="L23" s="26"/>
      <c r="M23" s="26"/>
      <c r="N23" s="26"/>
      <c r="O23" s="94">
        <v>626467.44276910019</v>
      </c>
      <c r="P23" s="97">
        <f t="shared" ref="P23:P87" si="1">IF(O23="-","-",IF(E23&lt;$E$15,0,O23*J23))</f>
        <v>626467.44276910019</v>
      </c>
      <c r="Q23" s="199"/>
      <c r="R23" s="102"/>
    </row>
    <row r="24" spans="3:18">
      <c r="C24" s="26"/>
      <c r="D24" s="194" t="s">
        <v>229</v>
      </c>
      <c r="E24" s="34">
        <v>45474</v>
      </c>
      <c r="F24" s="92" t="str">
        <f t="shared" si="0"/>
        <v>2024-25</v>
      </c>
      <c r="G24" s="199"/>
      <c r="H24" s="117" t="s">
        <v>197</v>
      </c>
      <c r="I24" s="26">
        <f t="shared" ref="I24:I87" si="2">I23</f>
        <v>7189.7586453201966</v>
      </c>
      <c r="J24" s="100">
        <v>1</v>
      </c>
      <c r="K24" s="37"/>
      <c r="L24" s="26"/>
      <c r="M24" s="26"/>
      <c r="N24" s="26"/>
      <c r="O24" s="94">
        <v>438266.26024224336</v>
      </c>
      <c r="P24" s="97">
        <f t="shared" si="1"/>
        <v>438266.26024224336</v>
      </c>
      <c r="Q24" s="199"/>
      <c r="R24" s="199"/>
    </row>
    <row r="25" spans="3:18">
      <c r="C25" s="26"/>
      <c r="D25" s="194" t="s">
        <v>230</v>
      </c>
      <c r="E25" s="34">
        <v>45474</v>
      </c>
      <c r="F25" s="92" t="str">
        <f t="shared" si="0"/>
        <v>2024-25</v>
      </c>
      <c r="G25" s="199"/>
      <c r="H25" s="117" t="s">
        <v>197</v>
      </c>
      <c r="I25" s="26">
        <f t="shared" si="2"/>
        <v>7189.7586453201966</v>
      </c>
      <c r="J25" s="100">
        <v>1</v>
      </c>
      <c r="K25" s="37"/>
      <c r="L25" s="26"/>
      <c r="M25" s="26"/>
      <c r="N25" s="26"/>
      <c r="O25" s="94">
        <v>554927.24982900999</v>
      </c>
      <c r="P25" s="97">
        <f>IF(O25="-","-",IF(E25&lt;$E$15,0,O25*J25))</f>
        <v>554927.24982900999</v>
      </c>
      <c r="Q25" s="199"/>
      <c r="R25" s="199"/>
    </row>
    <row r="26" spans="3:18">
      <c r="C26" s="26"/>
      <c r="D26" s="194" t="s">
        <v>231</v>
      </c>
      <c r="E26" s="34">
        <v>45474</v>
      </c>
      <c r="F26" s="92" t="str">
        <f t="shared" si="0"/>
        <v>2024-25</v>
      </c>
      <c r="G26" s="199"/>
      <c r="H26" s="117" t="s">
        <v>197</v>
      </c>
      <c r="I26" s="26">
        <f t="shared" si="2"/>
        <v>7189.7586453201966</v>
      </c>
      <c r="J26" s="100">
        <v>1</v>
      </c>
      <c r="K26" s="37"/>
      <c r="L26" s="26"/>
      <c r="M26" s="26"/>
      <c r="N26" s="26"/>
      <c r="O26" s="94">
        <v>230227.00605999902</v>
      </c>
      <c r="P26" s="97">
        <f t="shared" si="1"/>
        <v>230227.00605999902</v>
      </c>
      <c r="Q26" s="199"/>
      <c r="R26" s="199"/>
    </row>
    <row r="27" spans="3:18">
      <c r="C27" s="26"/>
      <c r="D27" s="194" t="s">
        <v>232</v>
      </c>
      <c r="E27" s="34">
        <v>45474</v>
      </c>
      <c r="F27" s="92" t="str">
        <f t="shared" si="0"/>
        <v>2024-25</v>
      </c>
      <c r="G27" s="199"/>
      <c r="H27" s="117" t="s">
        <v>197</v>
      </c>
      <c r="I27" s="26">
        <f t="shared" si="2"/>
        <v>7189.7586453201966</v>
      </c>
      <c r="J27" s="100">
        <v>1</v>
      </c>
      <c r="K27" s="37"/>
      <c r="L27" s="26"/>
      <c r="M27" s="26"/>
      <c r="N27" s="26"/>
      <c r="O27" s="94">
        <v>50446.688525889134</v>
      </c>
      <c r="P27" s="97">
        <f t="shared" si="1"/>
        <v>50446.688525889134</v>
      </c>
      <c r="Q27" s="199"/>
      <c r="R27" s="199"/>
    </row>
    <row r="28" spans="3:18">
      <c r="C28" s="26"/>
      <c r="D28" s="194" t="s">
        <v>233</v>
      </c>
      <c r="E28" s="34">
        <v>45474</v>
      </c>
      <c r="F28" s="92" t="str">
        <f t="shared" si="0"/>
        <v>2024-25</v>
      </c>
      <c r="G28" s="199"/>
      <c r="H28" s="117" t="s">
        <v>197</v>
      </c>
      <c r="I28" s="26">
        <f t="shared" si="2"/>
        <v>7189.7586453201966</v>
      </c>
      <c r="J28" s="100">
        <v>1</v>
      </c>
      <c r="K28" s="37"/>
      <c r="L28" s="26"/>
      <c r="M28" s="26"/>
      <c r="N28" s="26"/>
      <c r="O28" s="94">
        <v>5088.1207362669384</v>
      </c>
      <c r="P28" s="97">
        <f t="shared" si="1"/>
        <v>5088.1207362669384</v>
      </c>
      <c r="Q28" s="199"/>
      <c r="R28" s="199"/>
    </row>
    <row r="29" spans="3:18">
      <c r="C29" s="26"/>
      <c r="D29" s="194" t="s">
        <v>234</v>
      </c>
      <c r="E29" s="34">
        <v>45474</v>
      </c>
      <c r="F29" s="92" t="str">
        <f t="shared" si="0"/>
        <v>2024-25</v>
      </c>
      <c r="G29" s="199"/>
      <c r="H29" s="117" t="s">
        <v>197</v>
      </c>
      <c r="I29" s="26">
        <f t="shared" si="2"/>
        <v>7189.7586453201966</v>
      </c>
      <c r="J29" s="100">
        <v>1</v>
      </c>
      <c r="K29" s="37"/>
      <c r="L29" s="26"/>
      <c r="M29" s="26"/>
      <c r="N29" s="26"/>
      <c r="O29" s="94">
        <v>59383.070132439105</v>
      </c>
      <c r="P29" s="97">
        <f t="shared" si="1"/>
        <v>59383.070132439105</v>
      </c>
      <c r="Q29" s="199"/>
      <c r="R29" s="199"/>
    </row>
    <row r="30" spans="3:18">
      <c r="C30" s="26"/>
      <c r="D30" s="194" t="s">
        <v>235</v>
      </c>
      <c r="E30" s="34">
        <v>45474</v>
      </c>
      <c r="F30" s="92" t="str">
        <f t="shared" si="0"/>
        <v>2024-25</v>
      </c>
      <c r="G30" s="199"/>
      <c r="H30" s="117" t="s">
        <v>197</v>
      </c>
      <c r="I30" s="26">
        <f t="shared" si="2"/>
        <v>7189.7586453201966</v>
      </c>
      <c r="J30" s="100">
        <v>1</v>
      </c>
      <c r="K30" s="37"/>
      <c r="L30" s="26"/>
      <c r="M30" s="26"/>
      <c r="N30" s="26"/>
      <c r="O30" s="94">
        <v>53378.139239343931</v>
      </c>
      <c r="P30" s="97">
        <f t="shared" si="1"/>
        <v>53378.139239343931</v>
      </c>
      <c r="Q30" s="199"/>
      <c r="R30" s="199"/>
    </row>
    <row r="31" spans="3:18">
      <c r="C31" s="26"/>
      <c r="D31" s="194" t="s">
        <v>236</v>
      </c>
      <c r="E31" s="34">
        <v>45474</v>
      </c>
      <c r="F31" s="92" t="str">
        <f t="shared" si="0"/>
        <v>2024-25</v>
      </c>
      <c r="G31" s="199"/>
      <c r="H31" s="117" t="s">
        <v>197</v>
      </c>
      <c r="I31" s="26">
        <f t="shared" si="2"/>
        <v>7189.7586453201966</v>
      </c>
      <c r="J31" s="100">
        <v>1</v>
      </c>
      <c r="K31" s="37"/>
      <c r="L31" s="26"/>
      <c r="M31" s="26"/>
      <c r="N31" s="26"/>
      <c r="O31" s="94">
        <v>56512.037559587516</v>
      </c>
      <c r="P31" s="97">
        <f t="shared" si="1"/>
        <v>56512.037559587516</v>
      </c>
      <c r="Q31" s="199"/>
      <c r="R31" s="199"/>
    </row>
    <row r="32" spans="3:18">
      <c r="C32" s="26"/>
      <c r="D32" s="194" t="s">
        <v>237</v>
      </c>
      <c r="E32" s="34">
        <v>45474</v>
      </c>
      <c r="F32" s="92" t="str">
        <f t="shared" si="0"/>
        <v>2024-25</v>
      </c>
      <c r="G32" s="199"/>
      <c r="H32" s="117" t="s">
        <v>197</v>
      </c>
      <c r="I32" s="26">
        <f t="shared" si="2"/>
        <v>7189.7586453201966</v>
      </c>
      <c r="J32" s="100">
        <v>1</v>
      </c>
      <c r="K32" s="37"/>
      <c r="L32" s="26"/>
      <c r="M32" s="26"/>
      <c r="N32" s="26"/>
      <c r="O32" s="94">
        <v>65642.37778999265</v>
      </c>
      <c r="P32" s="97">
        <f t="shared" si="1"/>
        <v>65642.37778999265</v>
      </c>
      <c r="Q32" s="199"/>
      <c r="R32" s="199"/>
    </row>
    <row r="33" spans="1:17">
      <c r="A33" s="199"/>
      <c r="B33" s="199"/>
      <c r="C33" s="26"/>
      <c r="D33" s="194" t="s">
        <v>238</v>
      </c>
      <c r="E33" s="34">
        <v>45474</v>
      </c>
      <c r="F33" s="92" t="str">
        <f t="shared" si="0"/>
        <v>2024-25</v>
      </c>
      <c r="G33" s="199"/>
      <c r="H33" s="117" t="s">
        <v>197</v>
      </c>
      <c r="I33" s="26">
        <f t="shared" si="2"/>
        <v>7189.7586453201966</v>
      </c>
      <c r="J33" s="100">
        <v>1</v>
      </c>
      <c r="K33" s="37"/>
      <c r="L33" s="26"/>
      <c r="M33" s="26"/>
      <c r="N33" s="26"/>
      <c r="O33" s="94">
        <v>39112.549781212947</v>
      </c>
      <c r="P33" s="97">
        <f t="shared" si="1"/>
        <v>39112.549781212947</v>
      </c>
      <c r="Q33" s="199"/>
    </row>
    <row r="34" spans="1:17">
      <c r="A34" s="199"/>
      <c r="B34" s="199"/>
      <c r="C34" s="26"/>
      <c r="D34" s="194" t="s">
        <v>239</v>
      </c>
      <c r="E34" s="34">
        <v>45474</v>
      </c>
      <c r="F34" s="92" t="str">
        <f t="shared" si="0"/>
        <v>2024-25</v>
      </c>
      <c r="G34" s="199"/>
      <c r="H34" s="117" t="s">
        <v>197</v>
      </c>
      <c r="I34" s="26">
        <f t="shared" si="2"/>
        <v>7189.7586453201966</v>
      </c>
      <c r="J34" s="100">
        <v>1</v>
      </c>
      <c r="K34" s="37"/>
      <c r="L34" s="26"/>
      <c r="M34" s="26"/>
      <c r="N34" s="26"/>
      <c r="O34" s="94">
        <v>146404.61121842434</v>
      </c>
      <c r="P34" s="97">
        <f t="shared" si="1"/>
        <v>146404.61121842434</v>
      </c>
      <c r="Q34" s="199"/>
    </row>
    <row r="35" spans="1:17">
      <c r="A35" s="199"/>
      <c r="B35" s="199"/>
      <c r="C35" s="26"/>
      <c r="D35" s="194" t="s">
        <v>240</v>
      </c>
      <c r="E35" s="34">
        <v>45474</v>
      </c>
      <c r="F35" s="92" t="str">
        <f t="shared" si="0"/>
        <v>2024-25</v>
      </c>
      <c r="G35" s="199"/>
      <c r="H35" s="117" t="s">
        <v>197</v>
      </c>
      <c r="I35" s="26">
        <f t="shared" si="2"/>
        <v>7189.7586453201966</v>
      </c>
      <c r="J35" s="100">
        <v>1</v>
      </c>
      <c r="K35" s="37"/>
      <c r="L35" s="26"/>
      <c r="M35" s="26"/>
      <c r="N35" s="26"/>
      <c r="O35" s="94">
        <v>1262944.3081228884</v>
      </c>
      <c r="P35" s="97">
        <f t="shared" si="1"/>
        <v>1262944.3081228884</v>
      </c>
      <c r="Q35" s="199"/>
    </row>
    <row r="36" spans="1:17">
      <c r="A36" s="199"/>
      <c r="B36" s="199"/>
      <c r="C36" s="26"/>
      <c r="D36" s="194" t="s">
        <v>241</v>
      </c>
      <c r="E36" s="34">
        <v>45474</v>
      </c>
      <c r="F36" s="92" t="str">
        <f t="shared" si="0"/>
        <v>2024-25</v>
      </c>
      <c r="G36" s="199"/>
      <c r="H36" s="117" t="s">
        <v>197</v>
      </c>
      <c r="I36" s="26">
        <f t="shared" si="2"/>
        <v>7189.7586453201966</v>
      </c>
      <c r="J36" s="100">
        <v>1</v>
      </c>
      <c r="K36" s="37"/>
      <c r="L36" s="26"/>
      <c r="M36" s="26"/>
      <c r="N36" s="26"/>
      <c r="O36" s="94">
        <v>20204852.307604093</v>
      </c>
      <c r="P36" s="97">
        <f t="shared" si="1"/>
        <v>20204852.307604093</v>
      </c>
      <c r="Q36" s="199"/>
    </row>
    <row r="37" spans="1:17" s="193" customFormat="1">
      <c r="A37" s="199"/>
      <c r="B37" s="199"/>
      <c r="C37" s="26"/>
      <c r="D37" s="194" t="s">
        <v>242</v>
      </c>
      <c r="E37" s="34">
        <v>45474</v>
      </c>
      <c r="F37" s="92" t="str">
        <f t="shared" si="0"/>
        <v>2024-25</v>
      </c>
      <c r="G37" s="199"/>
      <c r="H37" s="117" t="str">
        <f>H36</f>
        <v>Mamre Rd</v>
      </c>
      <c r="I37" s="26">
        <f t="shared" si="2"/>
        <v>7189.7586453201966</v>
      </c>
      <c r="J37" s="100">
        <f>J36</f>
        <v>1</v>
      </c>
      <c r="K37" s="37"/>
      <c r="L37" s="26"/>
      <c r="M37" s="26"/>
      <c r="N37" s="26"/>
      <c r="O37" s="94">
        <v>6735.5410665325444</v>
      </c>
      <c r="P37" s="97">
        <f t="shared" si="1"/>
        <v>6735.5410665325444</v>
      </c>
      <c r="Q37" s="199"/>
    </row>
    <row r="38" spans="1:17">
      <c r="A38" s="199"/>
      <c r="B38" s="199"/>
      <c r="C38" s="26"/>
      <c r="D38" s="194" t="s">
        <v>243</v>
      </c>
      <c r="E38" s="34">
        <v>45839</v>
      </c>
      <c r="F38" s="92" t="str">
        <f t="shared" si="0"/>
        <v>2025-26</v>
      </c>
      <c r="G38" s="199"/>
      <c r="H38" s="117" t="s">
        <v>197</v>
      </c>
      <c r="I38" s="26">
        <f t="shared" si="2"/>
        <v>7189.7586453201966</v>
      </c>
      <c r="J38" s="100">
        <v>1</v>
      </c>
      <c r="K38" s="37"/>
      <c r="L38" s="26"/>
      <c r="M38" s="26"/>
      <c r="N38" s="26"/>
      <c r="O38" s="94">
        <v>146441.54539705164</v>
      </c>
      <c r="P38" s="97">
        <f t="shared" si="1"/>
        <v>146441.54539705164</v>
      </c>
      <c r="Q38" s="199"/>
    </row>
    <row r="39" spans="1:17">
      <c r="A39" s="199"/>
      <c r="B39" s="199"/>
      <c r="C39" s="26"/>
      <c r="D39" s="194" t="s">
        <v>244</v>
      </c>
      <c r="E39" s="34">
        <v>45839</v>
      </c>
      <c r="F39" s="92" t="str">
        <f t="shared" si="0"/>
        <v>2025-26</v>
      </c>
      <c r="G39" s="199"/>
      <c r="H39" s="117" t="s">
        <v>197</v>
      </c>
      <c r="I39" s="26">
        <f t="shared" si="2"/>
        <v>7189.7586453201966</v>
      </c>
      <c r="J39" s="100">
        <v>1</v>
      </c>
      <c r="K39" s="37"/>
      <c r="L39" s="26"/>
      <c r="M39" s="26"/>
      <c r="N39" s="26"/>
      <c r="O39" s="94">
        <v>626467.44276910019</v>
      </c>
      <c r="P39" s="97">
        <f t="shared" si="1"/>
        <v>626467.44276910019</v>
      </c>
      <c r="Q39" s="199"/>
    </row>
    <row r="40" spans="1:17">
      <c r="A40" s="199"/>
      <c r="B40" s="199"/>
      <c r="C40" s="26"/>
      <c r="D40" s="194" t="s">
        <v>245</v>
      </c>
      <c r="E40" s="34">
        <v>45839</v>
      </c>
      <c r="F40" s="92" t="str">
        <f t="shared" si="0"/>
        <v>2025-26</v>
      </c>
      <c r="G40" s="199"/>
      <c r="H40" s="117" t="s">
        <v>197</v>
      </c>
      <c r="I40" s="26">
        <f t="shared" si="2"/>
        <v>7189.7586453201966</v>
      </c>
      <c r="J40" s="100">
        <v>1</v>
      </c>
      <c r="K40" s="37"/>
      <c r="L40" s="26"/>
      <c r="M40" s="26"/>
      <c r="N40" s="26"/>
      <c r="O40" s="94">
        <v>438266.26024224336</v>
      </c>
      <c r="P40" s="97">
        <f t="shared" si="1"/>
        <v>438266.26024224336</v>
      </c>
      <c r="Q40" s="199"/>
    </row>
    <row r="41" spans="1:17">
      <c r="A41" s="199"/>
      <c r="B41" s="199"/>
      <c r="C41" s="26"/>
      <c r="D41" s="194" t="s">
        <v>246</v>
      </c>
      <c r="E41" s="34">
        <v>45839</v>
      </c>
      <c r="F41" s="92" t="str">
        <f t="shared" si="0"/>
        <v>2025-26</v>
      </c>
      <c r="G41" s="199"/>
      <c r="H41" s="117" t="s">
        <v>197</v>
      </c>
      <c r="I41" s="26">
        <f t="shared" si="2"/>
        <v>7189.7586453201966</v>
      </c>
      <c r="J41" s="100">
        <v>1</v>
      </c>
      <c r="K41" s="37"/>
      <c r="L41" s="26"/>
      <c r="M41" s="26"/>
      <c r="N41" s="26"/>
      <c r="O41" s="94">
        <v>1030579.1782538756</v>
      </c>
      <c r="P41" s="97">
        <f t="shared" si="1"/>
        <v>1030579.1782538756</v>
      </c>
      <c r="Q41" s="199"/>
    </row>
    <row r="42" spans="1:17">
      <c r="A42" s="199"/>
      <c r="B42" s="199"/>
      <c r="C42" s="26"/>
      <c r="D42" s="194" t="s">
        <v>247</v>
      </c>
      <c r="E42" s="34">
        <v>45839</v>
      </c>
      <c r="F42" s="92" t="str">
        <f t="shared" si="0"/>
        <v>2025-26</v>
      </c>
      <c r="G42" s="199"/>
      <c r="H42" s="117" t="s">
        <v>197</v>
      </c>
      <c r="I42" s="26">
        <f t="shared" si="2"/>
        <v>7189.7586453201966</v>
      </c>
      <c r="J42" s="100">
        <v>1</v>
      </c>
      <c r="K42" s="37"/>
      <c r="L42" s="26"/>
      <c r="M42" s="26"/>
      <c r="N42" s="26"/>
      <c r="O42" s="94">
        <v>460454.01211999805</v>
      </c>
      <c r="P42" s="97">
        <f t="shared" si="1"/>
        <v>460454.01211999805</v>
      </c>
      <c r="Q42" s="199"/>
    </row>
    <row r="43" spans="1:17">
      <c r="A43" s="199"/>
      <c r="B43" s="199"/>
      <c r="C43" s="26"/>
      <c r="D43" s="194" t="s">
        <v>248</v>
      </c>
      <c r="E43" s="34">
        <v>45839</v>
      </c>
      <c r="F43" s="92" t="str">
        <f t="shared" si="0"/>
        <v>2025-26</v>
      </c>
      <c r="G43" s="199"/>
      <c r="H43" s="117" t="s">
        <v>197</v>
      </c>
      <c r="I43" s="26">
        <f t="shared" si="2"/>
        <v>7189.7586453201966</v>
      </c>
      <c r="J43" s="100">
        <v>1</v>
      </c>
      <c r="K43" s="37"/>
      <c r="L43" s="26"/>
      <c r="M43" s="26"/>
      <c r="N43" s="26"/>
      <c r="O43" s="94">
        <v>25223.344262944567</v>
      </c>
      <c r="P43" s="97">
        <f t="shared" si="1"/>
        <v>25223.344262944567</v>
      </c>
      <c r="Q43" s="199"/>
    </row>
    <row r="44" spans="1:17">
      <c r="A44" s="199"/>
      <c r="B44" s="199"/>
      <c r="C44" s="26"/>
      <c r="D44" s="194" t="s">
        <v>249</v>
      </c>
      <c r="E44" s="34">
        <v>45839</v>
      </c>
      <c r="F44" s="92" t="str">
        <f t="shared" si="0"/>
        <v>2025-26</v>
      </c>
      <c r="G44" s="199"/>
      <c r="H44" s="117" t="s">
        <v>197</v>
      </c>
      <c r="I44" s="26">
        <f t="shared" si="2"/>
        <v>7189.7586453201966</v>
      </c>
      <c r="J44" s="100">
        <v>1</v>
      </c>
      <c r="K44" s="37"/>
      <c r="L44" s="26"/>
      <c r="M44" s="26"/>
      <c r="N44" s="26"/>
      <c r="O44" s="94">
        <v>5088.1207362669384</v>
      </c>
      <c r="P44" s="97">
        <f t="shared" si="1"/>
        <v>5088.1207362669384</v>
      </c>
      <c r="Q44" s="199"/>
    </row>
    <row r="45" spans="1:17">
      <c r="A45" s="199"/>
      <c r="B45" s="199"/>
      <c r="C45" s="26"/>
      <c r="D45" s="194" t="s">
        <v>250</v>
      </c>
      <c r="E45" s="34">
        <v>45839</v>
      </c>
      <c r="F45" s="92" t="str">
        <f t="shared" si="0"/>
        <v>2025-26</v>
      </c>
      <c r="G45" s="199"/>
      <c r="H45" s="117" t="s">
        <v>197</v>
      </c>
      <c r="I45" s="26">
        <f t="shared" si="2"/>
        <v>7189.7586453201966</v>
      </c>
      <c r="J45" s="100">
        <v>1</v>
      </c>
      <c r="K45" s="37"/>
      <c r="L45" s="26"/>
      <c r="M45" s="26"/>
      <c r="N45" s="26"/>
      <c r="O45" s="94">
        <v>59383.070132439105</v>
      </c>
      <c r="P45" s="97">
        <f t="shared" si="1"/>
        <v>59383.070132439105</v>
      </c>
      <c r="Q45" s="199"/>
    </row>
    <row r="46" spans="1:17">
      <c r="A46" s="199"/>
      <c r="B46" s="199"/>
      <c r="C46" s="26"/>
      <c r="D46" s="194" t="s">
        <v>251</v>
      </c>
      <c r="E46" s="34">
        <v>45839</v>
      </c>
      <c r="F46" s="92" t="str">
        <f t="shared" si="0"/>
        <v>2025-26</v>
      </c>
      <c r="G46" s="199"/>
      <c r="H46" s="117" t="s">
        <v>197</v>
      </c>
      <c r="I46" s="26">
        <f t="shared" si="2"/>
        <v>7189.7586453201966</v>
      </c>
      <c r="J46" s="100">
        <v>1</v>
      </c>
      <c r="K46" s="37"/>
      <c r="L46" s="26"/>
      <c r="M46" s="26"/>
      <c r="N46" s="26"/>
      <c r="O46" s="94">
        <v>53378.139239343931</v>
      </c>
      <c r="P46" s="97">
        <f t="shared" si="1"/>
        <v>53378.139239343931</v>
      </c>
      <c r="Q46" s="199"/>
    </row>
    <row r="47" spans="1:17">
      <c r="A47" s="199"/>
      <c r="B47" s="199"/>
      <c r="C47" s="26"/>
      <c r="D47" s="194" t="s">
        <v>252</v>
      </c>
      <c r="E47" s="34">
        <v>45839</v>
      </c>
      <c r="F47" s="92" t="str">
        <f t="shared" si="0"/>
        <v>2025-26</v>
      </c>
      <c r="G47" s="199"/>
      <c r="H47" s="117" t="s">
        <v>197</v>
      </c>
      <c r="I47" s="26">
        <f t="shared" si="2"/>
        <v>7189.7586453201966</v>
      </c>
      <c r="J47" s="100">
        <v>1</v>
      </c>
      <c r="K47" s="37"/>
      <c r="L47" s="26"/>
      <c r="M47" s="26"/>
      <c r="N47" s="26"/>
      <c r="O47" s="94">
        <v>28256.018779793758</v>
      </c>
      <c r="P47" s="97">
        <f t="shared" si="1"/>
        <v>28256.018779793758</v>
      </c>
      <c r="Q47" s="199"/>
    </row>
    <row r="48" spans="1:17">
      <c r="A48" s="199"/>
      <c r="B48" s="199"/>
      <c r="C48" s="26"/>
      <c r="D48" s="194" t="s">
        <v>253</v>
      </c>
      <c r="E48" s="34">
        <v>45839</v>
      </c>
      <c r="F48" s="92" t="str">
        <f t="shared" si="0"/>
        <v>2025-26</v>
      </c>
      <c r="G48" s="199"/>
      <c r="H48" s="117" t="s">
        <v>197</v>
      </c>
      <c r="I48" s="26">
        <f t="shared" si="2"/>
        <v>7189.7586453201966</v>
      </c>
      <c r="J48" s="100">
        <v>1</v>
      </c>
      <c r="K48" s="37"/>
      <c r="L48" s="26"/>
      <c r="M48" s="26"/>
      <c r="N48" s="26"/>
      <c r="O48" s="94">
        <v>21880.792596664214</v>
      </c>
      <c r="P48" s="97">
        <f t="shared" si="1"/>
        <v>21880.792596664214</v>
      </c>
      <c r="Q48" s="199"/>
    </row>
    <row r="49" spans="3:17">
      <c r="C49" s="26"/>
      <c r="D49" s="194" t="s">
        <v>254</v>
      </c>
      <c r="E49" s="34">
        <v>45839</v>
      </c>
      <c r="F49" s="92" t="str">
        <f t="shared" si="0"/>
        <v>2025-26</v>
      </c>
      <c r="G49" s="199"/>
      <c r="H49" s="117" t="s">
        <v>197</v>
      </c>
      <c r="I49" s="26">
        <f t="shared" si="2"/>
        <v>7189.7586453201966</v>
      </c>
      <c r="J49" s="100">
        <v>1</v>
      </c>
      <c r="K49" s="37"/>
      <c r="L49" s="26"/>
      <c r="M49" s="26"/>
      <c r="N49" s="26"/>
      <c r="O49" s="94">
        <v>19556.274890606473</v>
      </c>
      <c r="P49" s="97">
        <f t="shared" si="1"/>
        <v>19556.274890606473</v>
      </c>
      <c r="Q49" s="199"/>
    </row>
    <row r="50" spans="3:17">
      <c r="C50" s="26"/>
      <c r="D50" s="194" t="s">
        <v>255</v>
      </c>
      <c r="E50" s="34">
        <v>45839</v>
      </c>
      <c r="F50" s="92" t="str">
        <f t="shared" si="0"/>
        <v>2025-26</v>
      </c>
      <c r="G50" s="199"/>
      <c r="H50" s="117" t="s">
        <v>197</v>
      </c>
      <c r="I50" s="26">
        <f t="shared" si="2"/>
        <v>7189.7586453201966</v>
      </c>
      <c r="J50" s="100">
        <v>1</v>
      </c>
      <c r="K50" s="37"/>
      <c r="L50" s="26"/>
      <c r="M50" s="26"/>
      <c r="N50" s="26"/>
      <c r="O50" s="94">
        <v>146404.61121842434</v>
      </c>
      <c r="P50" s="97">
        <f t="shared" si="1"/>
        <v>146404.61121842434</v>
      </c>
      <c r="Q50" s="199"/>
    </row>
    <row r="51" spans="3:17">
      <c r="C51" s="26"/>
      <c r="D51" s="194" t="s">
        <v>256</v>
      </c>
      <c r="E51" s="34">
        <v>45839</v>
      </c>
      <c r="F51" s="92" t="str">
        <f t="shared" si="0"/>
        <v>2025-26</v>
      </c>
      <c r="G51" s="199"/>
      <c r="H51" s="117" t="s">
        <v>197</v>
      </c>
      <c r="I51" s="26">
        <f t="shared" si="2"/>
        <v>7189.7586453201966</v>
      </c>
      <c r="J51" s="100">
        <v>1</v>
      </c>
      <c r="K51" s="37"/>
      <c r="L51" s="26"/>
      <c r="M51" s="26"/>
      <c r="N51" s="26"/>
      <c r="O51" s="94">
        <v>15576313.133515626</v>
      </c>
      <c r="P51" s="97">
        <f t="shared" si="1"/>
        <v>15576313.133515626</v>
      </c>
      <c r="Q51" s="199"/>
    </row>
    <row r="52" spans="3:17">
      <c r="C52" s="26"/>
      <c r="D52" s="194" t="s">
        <v>257</v>
      </c>
      <c r="E52" s="34">
        <v>45839</v>
      </c>
      <c r="F52" s="92" t="str">
        <f t="shared" si="0"/>
        <v>2025-26</v>
      </c>
      <c r="G52" s="199"/>
      <c r="H52" s="117" t="s">
        <v>197</v>
      </c>
      <c r="I52" s="26">
        <f t="shared" si="2"/>
        <v>7189.7586453201966</v>
      </c>
      <c r="J52" s="100">
        <v>1</v>
      </c>
      <c r="K52" s="37"/>
      <c r="L52" s="26"/>
      <c r="M52" s="26"/>
      <c r="N52" s="26"/>
      <c r="O52" s="94">
        <v>2841692.9009685065</v>
      </c>
      <c r="P52" s="97">
        <f t="shared" si="1"/>
        <v>2841692.9009685065</v>
      </c>
      <c r="Q52" s="199"/>
    </row>
    <row r="53" spans="3:17">
      <c r="C53" s="26"/>
      <c r="D53" s="194" t="s">
        <v>258</v>
      </c>
      <c r="E53" s="34">
        <v>45839</v>
      </c>
      <c r="F53" s="92" t="str">
        <f t="shared" si="0"/>
        <v>2025-26</v>
      </c>
      <c r="G53" s="199"/>
      <c r="H53" s="117" t="s">
        <v>197</v>
      </c>
      <c r="I53" s="26">
        <f t="shared" si="2"/>
        <v>7189.7586453201966</v>
      </c>
      <c r="J53" s="100">
        <v>1</v>
      </c>
      <c r="K53" s="37"/>
      <c r="L53" s="26"/>
      <c r="M53" s="26"/>
      <c r="N53" s="26"/>
      <c r="O53" s="94">
        <v>494022.31851333292</v>
      </c>
      <c r="P53" s="97">
        <f t="shared" si="1"/>
        <v>494022.31851333292</v>
      </c>
      <c r="Q53" s="199"/>
    </row>
    <row r="54" spans="3:17">
      <c r="C54" s="26"/>
      <c r="D54" s="194" t="s">
        <v>259</v>
      </c>
      <c r="E54" s="34">
        <v>45839</v>
      </c>
      <c r="F54" s="92" t="str">
        <f t="shared" si="0"/>
        <v>2025-26</v>
      </c>
      <c r="G54" s="199"/>
      <c r="H54" s="117" t="s">
        <v>197</v>
      </c>
      <c r="I54" s="26">
        <f t="shared" si="2"/>
        <v>7189.7586453201966</v>
      </c>
      <c r="J54" s="100">
        <v>1</v>
      </c>
      <c r="K54" s="37"/>
      <c r="L54" s="26"/>
      <c r="M54" s="26"/>
      <c r="N54" s="26"/>
      <c r="O54" s="94">
        <v>4703116.8533607358</v>
      </c>
      <c r="P54" s="97">
        <f t="shared" si="1"/>
        <v>4703116.8533607358</v>
      </c>
      <c r="Q54" s="199"/>
    </row>
    <row r="55" spans="3:17">
      <c r="C55" s="26"/>
      <c r="D55" s="194" t="s">
        <v>260</v>
      </c>
      <c r="E55" s="34">
        <v>45839</v>
      </c>
      <c r="F55" s="92" t="str">
        <f t="shared" si="0"/>
        <v>2025-26</v>
      </c>
      <c r="G55" s="199"/>
      <c r="H55" s="117" t="s">
        <v>197</v>
      </c>
      <c r="I55" s="26">
        <f t="shared" si="2"/>
        <v>7189.7586453201966</v>
      </c>
      <c r="J55" s="100">
        <v>1</v>
      </c>
      <c r="K55" s="37"/>
      <c r="L55" s="26"/>
      <c r="M55" s="26"/>
      <c r="N55" s="26"/>
      <c r="O55" s="94">
        <v>12349262.600546274</v>
      </c>
      <c r="P55" s="97">
        <f t="shared" si="1"/>
        <v>12349262.600546274</v>
      </c>
      <c r="Q55" s="199"/>
    </row>
    <row r="56" spans="3:17">
      <c r="C56" s="26"/>
      <c r="D56" s="194" t="s">
        <v>261</v>
      </c>
      <c r="E56" s="34">
        <v>45839</v>
      </c>
      <c r="F56" s="92" t="str">
        <f t="shared" si="0"/>
        <v>2025-26</v>
      </c>
      <c r="G56" s="199"/>
      <c r="H56" s="117" t="s">
        <v>197</v>
      </c>
      <c r="I56" s="26">
        <f t="shared" si="2"/>
        <v>7189.7586453201966</v>
      </c>
      <c r="J56" s="100">
        <v>1</v>
      </c>
      <c r="K56" s="37"/>
      <c r="L56" s="26"/>
      <c r="M56" s="26"/>
      <c r="N56" s="26"/>
      <c r="O56" s="94">
        <v>5241822.2338139527</v>
      </c>
      <c r="P56" s="97">
        <f t="shared" si="1"/>
        <v>5241822.2338139527</v>
      </c>
      <c r="Q56" s="199"/>
    </row>
    <row r="57" spans="3:17">
      <c r="C57" s="26"/>
      <c r="D57" s="194" t="s">
        <v>262</v>
      </c>
      <c r="E57" s="34">
        <v>45839</v>
      </c>
      <c r="F57" s="92" t="str">
        <f t="shared" si="0"/>
        <v>2025-26</v>
      </c>
      <c r="G57" s="199"/>
      <c r="H57" s="117" t="s">
        <v>197</v>
      </c>
      <c r="I57" s="26">
        <f t="shared" si="2"/>
        <v>7189.7586453201966</v>
      </c>
      <c r="J57" s="100">
        <v>1</v>
      </c>
      <c r="K57" s="37"/>
      <c r="L57" s="26"/>
      <c r="M57" s="26"/>
      <c r="N57" s="26"/>
      <c r="O57" s="94">
        <v>8121994.1698086979</v>
      </c>
      <c r="P57" s="97">
        <f t="shared" si="1"/>
        <v>8121994.1698086979</v>
      </c>
      <c r="Q57" s="199"/>
    </row>
    <row r="58" spans="3:17">
      <c r="C58" s="26"/>
      <c r="D58" s="194" t="s">
        <v>263</v>
      </c>
      <c r="E58" s="34">
        <v>45839</v>
      </c>
      <c r="F58" s="92" t="str">
        <f t="shared" si="0"/>
        <v>2025-26</v>
      </c>
      <c r="G58" s="199"/>
      <c r="H58" s="117" t="s">
        <v>197</v>
      </c>
      <c r="I58" s="26">
        <f t="shared" si="2"/>
        <v>7189.7586453201966</v>
      </c>
      <c r="J58" s="100">
        <v>1</v>
      </c>
      <c r="K58" s="37"/>
      <c r="L58" s="26"/>
      <c r="M58" s="26"/>
      <c r="N58" s="26"/>
      <c r="O58" s="94">
        <v>2592659.7093920722</v>
      </c>
      <c r="P58" s="97">
        <f t="shared" si="1"/>
        <v>2592659.7093920722</v>
      </c>
      <c r="Q58" s="199"/>
    </row>
    <row r="59" spans="3:17">
      <c r="C59" s="26"/>
      <c r="D59" s="194" t="s">
        <v>264</v>
      </c>
      <c r="E59" s="34">
        <v>45839</v>
      </c>
      <c r="F59" s="92" t="str">
        <f t="shared" si="0"/>
        <v>2025-26</v>
      </c>
      <c r="G59" s="199"/>
      <c r="H59" s="117" t="s">
        <v>197</v>
      </c>
      <c r="I59" s="26">
        <f t="shared" si="2"/>
        <v>7189.7586453201966</v>
      </c>
      <c r="J59" s="100">
        <v>1</v>
      </c>
      <c r="K59" s="37"/>
      <c r="L59" s="26"/>
      <c r="M59" s="26"/>
      <c r="N59" s="26"/>
      <c r="O59" s="94">
        <v>12020813.195893371</v>
      </c>
      <c r="P59" s="97">
        <f t="shared" si="1"/>
        <v>12020813.195893371</v>
      </c>
      <c r="Q59" s="199"/>
    </row>
    <row r="60" spans="3:17">
      <c r="C60" s="26"/>
      <c r="D60" s="194" t="s">
        <v>265</v>
      </c>
      <c r="E60" s="34">
        <v>45839</v>
      </c>
      <c r="F60" s="92" t="str">
        <f t="shared" si="0"/>
        <v>2025-26</v>
      </c>
      <c r="G60" s="199"/>
      <c r="H60" s="117" t="s">
        <v>197</v>
      </c>
      <c r="I60" s="26">
        <f t="shared" si="2"/>
        <v>7189.7586453201966</v>
      </c>
      <c r="J60" s="100">
        <v>1</v>
      </c>
      <c r="K60" s="37"/>
      <c r="L60" s="26"/>
      <c r="M60" s="26"/>
      <c r="N60" s="26"/>
      <c r="O60" s="94">
        <v>12732610.323732447</v>
      </c>
      <c r="P60" s="97">
        <f t="shared" si="1"/>
        <v>12732610.323732447</v>
      </c>
      <c r="Q60" s="199"/>
    </row>
    <row r="61" spans="3:17">
      <c r="C61" s="26"/>
      <c r="D61" s="194" t="s">
        <v>266</v>
      </c>
      <c r="E61" s="34">
        <v>45839</v>
      </c>
      <c r="F61" s="92" t="str">
        <f t="shared" si="0"/>
        <v>2025-26</v>
      </c>
      <c r="G61" s="199"/>
      <c r="H61" s="117" t="s">
        <v>197</v>
      </c>
      <c r="I61" s="26">
        <f t="shared" si="2"/>
        <v>7189.7586453201966</v>
      </c>
      <c r="J61" s="100">
        <v>1</v>
      </c>
      <c r="K61" s="37"/>
      <c r="L61" s="26"/>
      <c r="M61" s="26"/>
      <c r="N61" s="26"/>
      <c r="O61" s="94">
        <v>6316023.3311541853</v>
      </c>
      <c r="P61" s="97">
        <f t="shared" si="1"/>
        <v>6316023.3311541853</v>
      </c>
      <c r="Q61" s="199"/>
    </row>
    <row r="62" spans="3:17">
      <c r="C62" s="26"/>
      <c r="D62" s="194" t="s">
        <v>267</v>
      </c>
      <c r="E62" s="34">
        <v>45839</v>
      </c>
      <c r="F62" s="92" t="str">
        <f t="shared" si="0"/>
        <v>2025-26</v>
      </c>
      <c r="G62" s="199"/>
      <c r="H62" s="117" t="s">
        <v>197</v>
      </c>
      <c r="I62" s="26">
        <f t="shared" si="2"/>
        <v>7189.7586453201966</v>
      </c>
      <c r="J62" s="100">
        <v>1</v>
      </c>
      <c r="K62" s="37"/>
      <c r="L62" s="26"/>
      <c r="M62" s="26"/>
      <c r="N62" s="26"/>
      <c r="O62" s="94">
        <v>4470994.7759918962</v>
      </c>
      <c r="P62" s="97">
        <f t="shared" si="1"/>
        <v>4470994.7759918962</v>
      </c>
      <c r="Q62" s="199"/>
    </row>
    <row r="63" spans="3:17">
      <c r="C63" s="26"/>
      <c r="D63" s="194" t="s">
        <v>268</v>
      </c>
      <c r="E63" s="34">
        <v>45839</v>
      </c>
      <c r="F63" s="92" t="str">
        <f t="shared" si="0"/>
        <v>2025-26</v>
      </c>
      <c r="G63" s="199"/>
      <c r="H63" s="117" t="s">
        <v>197</v>
      </c>
      <c r="I63" s="26">
        <f t="shared" si="2"/>
        <v>7189.7586453201966</v>
      </c>
      <c r="J63" s="100">
        <v>1</v>
      </c>
      <c r="K63" s="37"/>
      <c r="L63" s="26"/>
      <c r="M63" s="26"/>
      <c r="N63" s="26"/>
      <c r="O63" s="94">
        <v>3002111.5192730585</v>
      </c>
      <c r="P63" s="97">
        <f t="shared" si="1"/>
        <v>3002111.5192730585</v>
      </c>
      <c r="Q63" s="199"/>
    </row>
    <row r="64" spans="3:17">
      <c r="C64" s="26"/>
      <c r="D64" s="194" t="s">
        <v>269</v>
      </c>
      <c r="E64" s="34">
        <v>45839</v>
      </c>
      <c r="F64" s="92" t="str">
        <f t="shared" si="0"/>
        <v>2025-26</v>
      </c>
      <c r="G64" s="199"/>
      <c r="H64" s="117" t="s">
        <v>197</v>
      </c>
      <c r="I64" s="26">
        <f t="shared" si="2"/>
        <v>7189.7586453201966</v>
      </c>
      <c r="J64" s="100">
        <v>1</v>
      </c>
      <c r="K64" s="37"/>
      <c r="L64" s="26"/>
      <c r="M64" s="26"/>
      <c r="N64" s="26"/>
      <c r="O64" s="94">
        <v>13762935.259765642</v>
      </c>
      <c r="P64" s="97">
        <f t="shared" si="1"/>
        <v>13762935.259765642</v>
      </c>
      <c r="Q64" s="199"/>
    </row>
    <row r="65" spans="3:17">
      <c r="C65" s="26"/>
      <c r="D65" s="194" t="s">
        <v>270</v>
      </c>
      <c r="E65" s="34">
        <v>45839</v>
      </c>
      <c r="F65" s="92" t="str">
        <f t="shared" si="0"/>
        <v>2025-26</v>
      </c>
      <c r="G65" s="199"/>
      <c r="H65" s="117" t="s">
        <v>197</v>
      </c>
      <c r="I65" s="26">
        <f t="shared" si="2"/>
        <v>7189.7586453201966</v>
      </c>
      <c r="J65" s="100">
        <v>1</v>
      </c>
      <c r="K65" s="37"/>
      <c r="L65" s="26"/>
      <c r="M65" s="26"/>
      <c r="N65" s="26"/>
      <c r="O65" s="94">
        <v>550468.80000000005</v>
      </c>
      <c r="P65" s="97">
        <f t="shared" si="1"/>
        <v>550468.80000000005</v>
      </c>
      <c r="Q65" s="199"/>
    </row>
    <row r="66" spans="3:17">
      <c r="C66" s="26"/>
      <c r="D66" s="194" t="s">
        <v>271</v>
      </c>
      <c r="E66" s="34">
        <v>45839</v>
      </c>
      <c r="F66" s="92" t="str">
        <f t="shared" si="0"/>
        <v>2025-26</v>
      </c>
      <c r="G66" s="199"/>
      <c r="H66" s="117" t="s">
        <v>197</v>
      </c>
      <c r="I66" s="26">
        <f t="shared" si="2"/>
        <v>7189.7586453201966</v>
      </c>
      <c r="J66" s="100">
        <v>1</v>
      </c>
      <c r="K66" s="37"/>
      <c r="L66" s="26"/>
      <c r="M66" s="26"/>
      <c r="N66" s="26"/>
      <c r="O66" s="94">
        <v>550468.80000000005</v>
      </c>
      <c r="P66" s="97">
        <f t="shared" si="1"/>
        <v>550468.80000000005</v>
      </c>
      <c r="Q66" s="199"/>
    </row>
    <row r="67" spans="3:17">
      <c r="C67" s="26"/>
      <c r="D67" s="194" t="s">
        <v>272</v>
      </c>
      <c r="E67" s="34">
        <v>45839</v>
      </c>
      <c r="F67" s="92" t="str">
        <f t="shared" si="0"/>
        <v>2025-26</v>
      </c>
      <c r="G67" s="199"/>
      <c r="H67" s="117" t="s">
        <v>197</v>
      </c>
      <c r="I67" s="26">
        <f t="shared" si="2"/>
        <v>7189.7586453201966</v>
      </c>
      <c r="J67" s="100">
        <v>1</v>
      </c>
      <c r="K67" s="37"/>
      <c r="L67" s="26"/>
      <c r="M67" s="26"/>
      <c r="N67" s="26"/>
      <c r="O67" s="95">
        <v>57871.23699430249</v>
      </c>
      <c r="P67" s="97">
        <f t="shared" si="1"/>
        <v>57871.23699430249</v>
      </c>
      <c r="Q67" s="199"/>
    </row>
    <row r="68" spans="3:17">
      <c r="C68" s="26"/>
      <c r="D68" s="194" t="s">
        <v>273</v>
      </c>
      <c r="E68" s="34">
        <v>45839</v>
      </c>
      <c r="F68" s="92" t="str">
        <f t="shared" si="0"/>
        <v>2025-26</v>
      </c>
      <c r="G68" s="199"/>
      <c r="H68" s="117" t="s">
        <v>197</v>
      </c>
      <c r="I68" s="26">
        <f t="shared" si="2"/>
        <v>7189.7586453201966</v>
      </c>
      <c r="J68" s="100">
        <v>1</v>
      </c>
      <c r="K68" s="37"/>
      <c r="L68" s="26"/>
      <c r="M68" s="26"/>
      <c r="N68" s="26"/>
      <c r="O68" s="95">
        <v>472400.09439935954</v>
      </c>
      <c r="P68" s="97">
        <f t="shared" si="1"/>
        <v>472400.09439935954</v>
      </c>
      <c r="Q68" s="199"/>
    </row>
    <row r="69" spans="3:17">
      <c r="C69" s="26"/>
      <c r="D69" s="194" t="s">
        <v>274</v>
      </c>
      <c r="E69" s="34">
        <v>45839</v>
      </c>
      <c r="F69" s="92" t="str">
        <f t="shared" si="0"/>
        <v>2025-26</v>
      </c>
      <c r="G69" s="199"/>
      <c r="H69" s="117" t="s">
        <v>197</v>
      </c>
      <c r="I69" s="26">
        <f t="shared" si="2"/>
        <v>7189.7586453201966</v>
      </c>
      <c r="J69" s="100">
        <v>1</v>
      </c>
      <c r="K69" s="37"/>
      <c r="L69" s="26"/>
      <c r="M69" s="26"/>
      <c r="N69" s="26"/>
      <c r="O69" s="95">
        <v>206582.39875959512</v>
      </c>
      <c r="P69" s="97">
        <f t="shared" si="1"/>
        <v>206582.39875959512</v>
      </c>
      <c r="Q69" s="199"/>
    </row>
    <row r="70" spans="3:17">
      <c r="C70" s="26"/>
      <c r="D70" s="194" t="s">
        <v>275</v>
      </c>
      <c r="E70" s="34">
        <v>45839</v>
      </c>
      <c r="F70" s="92" t="str">
        <f t="shared" si="0"/>
        <v>2025-26</v>
      </c>
      <c r="G70" s="199"/>
      <c r="H70" s="117" t="s">
        <v>197</v>
      </c>
      <c r="I70" s="26">
        <f t="shared" si="2"/>
        <v>7189.7586453201966</v>
      </c>
      <c r="J70" s="100">
        <v>1</v>
      </c>
      <c r="K70" s="37"/>
      <c r="L70" s="26"/>
      <c r="M70" s="26"/>
      <c r="N70" s="26"/>
      <c r="O70" s="95">
        <v>907587.1079546283</v>
      </c>
      <c r="P70" s="97">
        <f t="shared" si="1"/>
        <v>907587.1079546283</v>
      </c>
      <c r="Q70" s="199"/>
    </row>
    <row r="71" spans="3:17">
      <c r="C71" s="26"/>
      <c r="D71" s="194" t="s">
        <v>276</v>
      </c>
      <c r="E71" s="34">
        <v>45839</v>
      </c>
      <c r="F71" s="92" t="str">
        <f t="shared" si="0"/>
        <v>2025-26</v>
      </c>
      <c r="G71" s="199"/>
      <c r="H71" s="117" t="s">
        <v>197</v>
      </c>
      <c r="I71" s="26">
        <f t="shared" si="2"/>
        <v>7189.7586453201966</v>
      </c>
      <c r="J71" s="100">
        <v>1</v>
      </c>
      <c r="K71" s="37"/>
      <c r="L71" s="26"/>
      <c r="M71" s="26"/>
      <c r="N71" s="26"/>
      <c r="O71" s="95">
        <v>12558.862194944119</v>
      </c>
      <c r="P71" s="97">
        <f t="shared" si="1"/>
        <v>12558.862194944119</v>
      </c>
      <c r="Q71" s="199"/>
    </row>
    <row r="72" spans="3:17">
      <c r="C72" s="26"/>
      <c r="D72" s="194" t="s">
        <v>277</v>
      </c>
      <c r="E72" s="34">
        <v>45839</v>
      </c>
      <c r="F72" s="92" t="str">
        <f t="shared" si="0"/>
        <v>2025-26</v>
      </c>
      <c r="G72" s="199"/>
      <c r="H72" s="117" t="s">
        <v>197</v>
      </c>
      <c r="I72" s="26">
        <f t="shared" si="2"/>
        <v>7189.7586453201966</v>
      </c>
      <c r="J72" s="100">
        <v>1</v>
      </c>
      <c r="K72" s="37"/>
      <c r="L72" s="26"/>
      <c r="M72" s="26"/>
      <c r="N72" s="26"/>
      <c r="O72" s="95">
        <v>23443.20943056235</v>
      </c>
      <c r="P72" s="97">
        <f t="shared" si="1"/>
        <v>23443.20943056235</v>
      </c>
      <c r="Q72" s="199"/>
    </row>
    <row r="73" spans="3:17">
      <c r="C73" s="26"/>
      <c r="D73" s="194" t="s">
        <v>278</v>
      </c>
      <c r="E73" s="34">
        <v>45839</v>
      </c>
      <c r="F73" s="92" t="str">
        <f t="shared" si="0"/>
        <v>2025-26</v>
      </c>
      <c r="G73" s="199"/>
      <c r="H73" s="117" t="s">
        <v>197</v>
      </c>
      <c r="I73" s="26">
        <f t="shared" si="2"/>
        <v>7189.7586453201966</v>
      </c>
      <c r="J73" s="100">
        <v>1</v>
      </c>
      <c r="K73" s="37"/>
      <c r="L73" s="26"/>
      <c r="M73" s="26"/>
      <c r="N73" s="26"/>
      <c r="O73" s="95">
        <v>874852.28301398631</v>
      </c>
      <c r="P73" s="97">
        <f t="shared" si="1"/>
        <v>874852.28301398631</v>
      </c>
      <c r="Q73" s="199"/>
    </row>
    <row r="74" spans="3:17">
      <c r="C74" s="26"/>
      <c r="D74" s="194" t="s">
        <v>279</v>
      </c>
      <c r="E74" s="34">
        <v>45839</v>
      </c>
      <c r="F74" s="92" t="str">
        <f t="shared" si="0"/>
        <v>2025-26</v>
      </c>
      <c r="G74" s="199"/>
      <c r="H74" s="117" t="s">
        <v>197</v>
      </c>
      <c r="I74" s="26">
        <f t="shared" si="2"/>
        <v>7189.7586453201966</v>
      </c>
      <c r="J74" s="100">
        <v>1</v>
      </c>
      <c r="K74" s="37"/>
      <c r="L74" s="26"/>
      <c r="M74" s="26"/>
      <c r="N74" s="26"/>
      <c r="O74" s="95">
        <v>737199.28661721444</v>
      </c>
      <c r="P74" s="97">
        <f t="shared" si="1"/>
        <v>737199.28661721444</v>
      </c>
      <c r="Q74" s="199"/>
    </row>
    <row r="75" spans="3:17">
      <c r="C75" s="26"/>
      <c r="D75" s="194" t="s">
        <v>280</v>
      </c>
      <c r="E75" s="34">
        <v>45839</v>
      </c>
      <c r="F75" s="92" t="str">
        <f t="shared" si="0"/>
        <v>2025-26</v>
      </c>
      <c r="G75" s="199"/>
      <c r="H75" s="117" t="s">
        <v>197</v>
      </c>
      <c r="I75" s="26">
        <f t="shared" si="2"/>
        <v>7189.7586453201966</v>
      </c>
      <c r="J75" s="100">
        <v>1</v>
      </c>
      <c r="K75" s="37"/>
      <c r="L75" s="26"/>
      <c r="M75" s="26"/>
      <c r="N75" s="26"/>
      <c r="O75" s="95">
        <v>497743.92071859242</v>
      </c>
      <c r="P75" s="97">
        <f t="shared" si="1"/>
        <v>497743.92071859242</v>
      </c>
      <c r="Q75" s="199"/>
    </row>
    <row r="76" spans="3:17">
      <c r="C76" s="26"/>
      <c r="D76" s="194" t="s">
        <v>281</v>
      </c>
      <c r="E76" s="34">
        <v>45839</v>
      </c>
      <c r="F76" s="92" t="str">
        <f t="shared" si="0"/>
        <v>2025-26</v>
      </c>
      <c r="G76" s="199"/>
      <c r="H76" s="117" t="s">
        <v>197</v>
      </c>
      <c r="I76" s="26">
        <f t="shared" si="2"/>
        <v>7189.7586453201966</v>
      </c>
      <c r="J76" s="100">
        <v>1</v>
      </c>
      <c r="K76" s="37"/>
      <c r="L76" s="26"/>
      <c r="M76" s="26"/>
      <c r="N76" s="26"/>
      <c r="O76" s="95">
        <v>405202.98150551569</v>
      </c>
      <c r="P76" s="97">
        <f t="shared" si="1"/>
        <v>405202.98150551569</v>
      </c>
      <c r="Q76" s="199"/>
    </row>
    <row r="77" spans="3:17">
      <c r="C77" s="26"/>
      <c r="D77" s="194" t="s">
        <v>282</v>
      </c>
      <c r="E77" s="34">
        <v>45839</v>
      </c>
      <c r="F77" s="92" t="str">
        <f t="shared" si="0"/>
        <v>2025-26</v>
      </c>
      <c r="G77" s="199"/>
      <c r="H77" s="117" t="s">
        <v>197</v>
      </c>
      <c r="I77" s="26">
        <f t="shared" si="2"/>
        <v>7189.7586453201966</v>
      </c>
      <c r="J77" s="100">
        <v>1</v>
      </c>
      <c r="K77" s="37"/>
      <c r="L77" s="26"/>
      <c r="M77" s="26"/>
      <c r="N77" s="26"/>
      <c r="O77" s="95">
        <v>375903.97530309856</v>
      </c>
      <c r="P77" s="97">
        <f t="shared" si="1"/>
        <v>375903.97530309856</v>
      </c>
      <c r="Q77" s="199"/>
    </row>
    <row r="78" spans="3:17">
      <c r="C78" s="26"/>
      <c r="D78" s="194" t="s">
        <v>283</v>
      </c>
      <c r="E78" s="34">
        <v>45839</v>
      </c>
      <c r="F78" s="92" t="str">
        <f t="shared" si="0"/>
        <v>2025-26</v>
      </c>
      <c r="G78" s="199"/>
      <c r="H78" s="117" t="s">
        <v>197</v>
      </c>
      <c r="I78" s="26">
        <f t="shared" si="2"/>
        <v>7189.7586453201966</v>
      </c>
      <c r="J78" s="100">
        <v>1</v>
      </c>
      <c r="K78" s="37"/>
      <c r="L78" s="26"/>
      <c r="M78" s="26"/>
      <c r="N78" s="26"/>
      <c r="O78" s="95">
        <v>284291.08657444024</v>
      </c>
      <c r="P78" s="97">
        <f t="shared" si="1"/>
        <v>284291.08657444024</v>
      </c>
      <c r="Q78" s="199"/>
    </row>
    <row r="79" spans="3:17">
      <c r="C79" s="26"/>
      <c r="D79" s="194" t="s">
        <v>284</v>
      </c>
      <c r="E79" s="34">
        <v>45839</v>
      </c>
      <c r="F79" s="92" t="str">
        <f t="shared" si="0"/>
        <v>2025-26</v>
      </c>
      <c r="G79" s="199"/>
      <c r="H79" s="117" t="s">
        <v>197</v>
      </c>
      <c r="I79" s="26">
        <f t="shared" si="2"/>
        <v>7189.7586453201966</v>
      </c>
      <c r="J79" s="100">
        <v>1</v>
      </c>
      <c r="K79" s="37"/>
      <c r="L79" s="26"/>
      <c r="M79" s="26"/>
      <c r="N79" s="26"/>
      <c r="O79" s="95">
        <v>416472.13102408504</v>
      </c>
      <c r="P79" s="97">
        <f t="shared" si="1"/>
        <v>416472.13102408504</v>
      </c>
      <c r="Q79" s="199"/>
    </row>
    <row r="80" spans="3:17">
      <c r="C80" s="26"/>
      <c r="D80" s="194" t="s">
        <v>285</v>
      </c>
      <c r="E80" s="34">
        <v>45839</v>
      </c>
      <c r="F80" s="92" t="str">
        <f t="shared" si="0"/>
        <v>2025-26</v>
      </c>
      <c r="G80" s="199"/>
      <c r="H80" s="117" t="s">
        <v>197</v>
      </c>
      <c r="I80" s="26">
        <f t="shared" si="2"/>
        <v>7189.7586453201966</v>
      </c>
      <c r="J80" s="100">
        <v>1</v>
      </c>
      <c r="K80" s="37"/>
      <c r="L80" s="26"/>
      <c r="M80" s="26"/>
      <c r="N80" s="26"/>
      <c r="O80" s="95">
        <v>541926.55796260887</v>
      </c>
      <c r="P80" s="97">
        <f t="shared" si="1"/>
        <v>541926.55796260887</v>
      </c>
      <c r="Q80" s="199"/>
    </row>
    <row r="81" spans="3:17">
      <c r="C81" s="26"/>
      <c r="D81" s="194" t="s">
        <v>286</v>
      </c>
      <c r="E81" s="34">
        <v>45839</v>
      </c>
      <c r="F81" s="92" t="str">
        <f t="shared" si="0"/>
        <v>2025-26</v>
      </c>
      <c r="G81" s="199"/>
      <c r="H81" s="117" t="s">
        <v>197</v>
      </c>
      <c r="I81" s="26">
        <f t="shared" si="2"/>
        <v>7189.7586453201966</v>
      </c>
      <c r="J81" s="100">
        <v>1</v>
      </c>
      <c r="K81" s="37"/>
      <c r="L81" s="26"/>
      <c r="M81" s="26"/>
      <c r="N81" s="26"/>
      <c r="O81" s="95">
        <v>438164.33002606715</v>
      </c>
      <c r="P81" s="97">
        <f t="shared" si="1"/>
        <v>438164.33002606715</v>
      </c>
      <c r="Q81" s="199"/>
    </row>
    <row r="82" spans="3:17">
      <c r="C82" s="26"/>
      <c r="D82" s="194" t="s">
        <v>287</v>
      </c>
      <c r="E82" s="34">
        <v>45839</v>
      </c>
      <c r="F82" s="92" t="str">
        <f t="shared" si="0"/>
        <v>2025-26</v>
      </c>
      <c r="G82" s="199"/>
      <c r="H82" s="117" t="s">
        <v>197</v>
      </c>
      <c r="I82" s="26">
        <f t="shared" si="2"/>
        <v>7189.7586453201966</v>
      </c>
      <c r="J82" s="100">
        <v>1</v>
      </c>
      <c r="K82" s="37"/>
      <c r="L82" s="26"/>
      <c r="M82" s="26"/>
      <c r="N82" s="26"/>
      <c r="O82" s="95">
        <v>139704.56899381848</v>
      </c>
      <c r="P82" s="97">
        <f t="shared" si="1"/>
        <v>139704.56899381848</v>
      </c>
      <c r="Q82" s="199"/>
    </row>
    <row r="83" spans="3:17">
      <c r="C83" s="26"/>
      <c r="D83" s="194" t="s">
        <v>288</v>
      </c>
      <c r="E83" s="34">
        <v>45839</v>
      </c>
      <c r="F83" s="92" t="str">
        <f t="shared" si="0"/>
        <v>2025-26</v>
      </c>
      <c r="G83" s="199"/>
      <c r="H83" s="117" t="s">
        <v>197</v>
      </c>
      <c r="I83" s="26">
        <f t="shared" si="2"/>
        <v>7189.7586453201966</v>
      </c>
      <c r="J83" s="100">
        <v>1</v>
      </c>
      <c r="K83" s="37"/>
      <c r="L83" s="26"/>
      <c r="M83" s="26"/>
      <c r="N83" s="26"/>
      <c r="O83" s="95">
        <v>192944.96420413366</v>
      </c>
      <c r="P83" s="97">
        <f t="shared" si="1"/>
        <v>192944.96420413366</v>
      </c>
      <c r="Q83" s="199"/>
    </row>
    <row r="84" spans="3:17">
      <c r="C84" s="26"/>
      <c r="D84" s="194" t="s">
        <v>289</v>
      </c>
      <c r="E84" s="34">
        <v>45839</v>
      </c>
      <c r="F84" s="92" t="str">
        <f t="shared" si="0"/>
        <v>2025-26</v>
      </c>
      <c r="G84" s="199"/>
      <c r="H84" s="117" t="s">
        <v>197</v>
      </c>
      <c r="I84" s="26">
        <f t="shared" si="2"/>
        <v>7189.7586453201966</v>
      </c>
      <c r="J84" s="100">
        <v>1</v>
      </c>
      <c r="K84" s="37"/>
      <c r="L84" s="26"/>
      <c r="M84" s="26"/>
      <c r="N84" s="26"/>
      <c r="O84" s="95">
        <v>511879.31885150191</v>
      </c>
      <c r="P84" s="97">
        <f t="shared" si="1"/>
        <v>511879.31885150191</v>
      </c>
      <c r="Q84" s="199"/>
    </row>
    <row r="85" spans="3:17">
      <c r="C85" s="26"/>
      <c r="D85" s="194" t="s">
        <v>290</v>
      </c>
      <c r="E85" s="34">
        <v>45839</v>
      </c>
      <c r="F85" s="92" t="str">
        <f t="shared" si="0"/>
        <v>2025-26</v>
      </c>
      <c r="G85" s="199"/>
      <c r="H85" s="117" t="s">
        <v>197</v>
      </c>
      <c r="I85" s="26">
        <f t="shared" si="2"/>
        <v>7189.7586453201966</v>
      </c>
      <c r="J85" s="100">
        <v>1</v>
      </c>
      <c r="K85" s="37"/>
      <c r="L85" s="26"/>
      <c r="M85" s="26"/>
      <c r="N85" s="26"/>
      <c r="O85" s="95">
        <v>182553.9923706807</v>
      </c>
      <c r="P85" s="97">
        <f t="shared" si="1"/>
        <v>182553.9923706807</v>
      </c>
      <c r="Q85" s="199"/>
    </row>
    <row r="86" spans="3:17">
      <c r="C86" s="26"/>
      <c r="D86" s="194" t="s">
        <v>291</v>
      </c>
      <c r="E86" s="34">
        <v>45839</v>
      </c>
      <c r="F86" s="92" t="str">
        <f t="shared" si="0"/>
        <v>2025-26</v>
      </c>
      <c r="G86" s="199"/>
      <c r="H86" s="117" t="s">
        <v>197</v>
      </c>
      <c r="I86" s="26">
        <f t="shared" si="2"/>
        <v>7189.7586453201966</v>
      </c>
      <c r="J86" s="100">
        <v>1</v>
      </c>
      <c r="K86" s="37"/>
      <c r="L86" s="26"/>
      <c r="M86" s="26"/>
      <c r="N86" s="26"/>
      <c r="O86" s="95">
        <v>361587.17559440993</v>
      </c>
      <c r="P86" s="97">
        <f t="shared" si="1"/>
        <v>361587.17559440993</v>
      </c>
      <c r="Q86" s="199"/>
    </row>
    <row r="87" spans="3:17">
      <c r="C87" s="26"/>
      <c r="D87" s="194" t="s">
        <v>292</v>
      </c>
      <c r="E87" s="34">
        <v>45839</v>
      </c>
      <c r="F87" s="92" t="str">
        <f t="shared" si="0"/>
        <v>2025-26</v>
      </c>
      <c r="G87" s="199"/>
      <c r="H87" s="117" t="s">
        <v>197</v>
      </c>
      <c r="I87" s="26">
        <f t="shared" si="2"/>
        <v>7189.7586453201966</v>
      </c>
      <c r="J87" s="100">
        <v>1</v>
      </c>
      <c r="K87" s="37"/>
      <c r="L87" s="26"/>
      <c r="M87" s="26"/>
      <c r="N87" s="26"/>
      <c r="O87" s="95">
        <v>439397.54035782168</v>
      </c>
      <c r="P87" s="97">
        <f t="shared" si="1"/>
        <v>439397.54035782168</v>
      </c>
      <c r="Q87" s="199"/>
    </row>
    <row r="88" spans="3:17">
      <c r="C88" s="26"/>
      <c r="D88" s="194" t="s">
        <v>293</v>
      </c>
      <c r="E88" s="34">
        <v>45839</v>
      </c>
      <c r="F88" s="92" t="str">
        <f t="shared" ref="F88:F495" si="3">IF(E88="","-",IF(E88&lt;$E$15,"ERROR - date outside of range",IF(MONTH(E88)&gt;=7,YEAR(E88)&amp;"-"&amp;RIGHT(YEAR(E88),2)+1,YEAR(E88)-1&amp;"-"&amp;RIGHT(YEAR(E88),2))))</f>
        <v>2025-26</v>
      </c>
      <c r="G88" s="199"/>
      <c r="H88" s="117" t="s">
        <v>197</v>
      </c>
      <c r="I88" s="26">
        <f t="shared" ref="I88:I151" si="4">I87</f>
        <v>7189.7586453201966</v>
      </c>
      <c r="J88" s="100">
        <v>1</v>
      </c>
      <c r="K88" s="37"/>
      <c r="L88" s="26"/>
      <c r="M88" s="26"/>
      <c r="N88" s="26"/>
      <c r="O88" s="95">
        <v>511879.31885150191</v>
      </c>
      <c r="P88" s="97">
        <f t="shared" ref="P88:P495" si="5">IF(O88="-","-",IF(E88&lt;$E$15,0,O88*J88))</f>
        <v>511879.31885150191</v>
      </c>
      <c r="Q88" s="199"/>
    </row>
    <row r="89" spans="3:17">
      <c r="C89" s="26"/>
      <c r="D89" s="115" t="s">
        <v>294</v>
      </c>
      <c r="E89" s="34">
        <v>45839</v>
      </c>
      <c r="F89" s="92" t="str">
        <f t="shared" si="3"/>
        <v>2025-26</v>
      </c>
      <c r="G89" s="199"/>
      <c r="H89" s="117" t="s">
        <v>197</v>
      </c>
      <c r="I89" s="26">
        <f t="shared" si="4"/>
        <v>7189.7586453201966</v>
      </c>
      <c r="J89" s="100">
        <v>1</v>
      </c>
      <c r="K89" s="37"/>
      <c r="L89" s="26"/>
      <c r="M89" s="26"/>
      <c r="N89" s="26"/>
      <c r="O89" s="95">
        <v>168263.99302076394</v>
      </c>
      <c r="P89" s="97">
        <f t="shared" si="5"/>
        <v>168263.99302076394</v>
      </c>
      <c r="Q89" s="199"/>
    </row>
    <row r="90" spans="3:17">
      <c r="C90" s="26"/>
      <c r="D90" s="115" t="s">
        <v>295</v>
      </c>
      <c r="E90" s="34">
        <v>45839</v>
      </c>
      <c r="F90" s="92" t="str">
        <f t="shared" si="3"/>
        <v>2025-26</v>
      </c>
      <c r="G90" s="199"/>
      <c r="H90" s="117" t="s">
        <v>197</v>
      </c>
      <c r="I90" s="26">
        <f t="shared" si="4"/>
        <v>7189.7586453201966</v>
      </c>
      <c r="J90" s="100">
        <v>1</v>
      </c>
      <c r="K90" s="37"/>
      <c r="L90" s="26"/>
      <c r="M90" s="26"/>
      <c r="N90" s="26"/>
      <c r="O90" s="95">
        <v>1177544.4112181701</v>
      </c>
      <c r="P90" s="97">
        <f t="shared" si="5"/>
        <v>1177544.4112181701</v>
      </c>
      <c r="Q90" s="199"/>
    </row>
    <row r="91" spans="3:17">
      <c r="C91" s="26"/>
      <c r="D91" s="115" t="s">
        <v>296</v>
      </c>
      <c r="E91" s="34">
        <v>45839</v>
      </c>
      <c r="F91" s="92" t="str">
        <f t="shared" si="3"/>
        <v>2025-26</v>
      </c>
      <c r="G91" s="199"/>
      <c r="H91" s="117" t="s">
        <v>197</v>
      </c>
      <c r="I91" s="26">
        <f t="shared" si="4"/>
        <v>7189.7586453201966</v>
      </c>
      <c r="J91" s="100">
        <v>1</v>
      </c>
      <c r="K91" s="37"/>
      <c r="L91" s="26"/>
      <c r="M91" s="26"/>
      <c r="N91" s="26"/>
      <c r="O91" s="95">
        <v>115814.04127733293</v>
      </c>
      <c r="P91" s="97">
        <f t="shared" si="5"/>
        <v>115814.04127733293</v>
      </c>
      <c r="Q91" s="199"/>
    </row>
    <row r="92" spans="3:17">
      <c r="C92" s="26"/>
      <c r="D92" s="115" t="s">
        <v>297</v>
      </c>
      <c r="E92" s="34">
        <v>45839</v>
      </c>
      <c r="F92" s="92" t="str">
        <f t="shared" si="3"/>
        <v>2025-26</v>
      </c>
      <c r="G92" s="199"/>
      <c r="H92" s="117" t="s">
        <v>197</v>
      </c>
      <c r="I92" s="26">
        <f t="shared" si="4"/>
        <v>7189.7586453201966</v>
      </c>
      <c r="J92" s="100">
        <v>1</v>
      </c>
      <c r="K92" s="37"/>
      <c r="L92" s="26"/>
      <c r="M92" s="26"/>
      <c r="N92" s="26"/>
      <c r="O92" s="95">
        <v>43237.242076870971</v>
      </c>
      <c r="P92" s="97">
        <f t="shared" si="5"/>
        <v>43237.242076870971</v>
      </c>
      <c r="Q92" s="199"/>
    </row>
    <row r="93" spans="3:17">
      <c r="C93" s="26"/>
      <c r="D93" s="115" t="s">
        <v>298</v>
      </c>
      <c r="E93" s="34">
        <v>45839</v>
      </c>
      <c r="F93" s="92" t="str">
        <f t="shared" si="3"/>
        <v>2025-26</v>
      </c>
      <c r="G93" s="199"/>
      <c r="H93" s="117" t="s">
        <v>197</v>
      </c>
      <c r="I93" s="26">
        <f t="shared" si="4"/>
        <v>7189.7586453201966</v>
      </c>
      <c r="J93" s="100">
        <v>1</v>
      </c>
      <c r="K93" s="37"/>
      <c r="L93" s="26"/>
      <c r="M93" s="26"/>
      <c r="N93" s="26"/>
      <c r="O93" s="95">
        <v>98055.888281475258</v>
      </c>
      <c r="P93" s="97">
        <f t="shared" si="5"/>
        <v>98055.888281475258</v>
      </c>
      <c r="Q93" s="199"/>
    </row>
    <row r="94" spans="3:17" ht="24">
      <c r="C94" s="26"/>
      <c r="D94" s="115" t="s">
        <v>299</v>
      </c>
      <c r="E94" s="34">
        <v>45839</v>
      </c>
      <c r="F94" s="92" t="str">
        <f t="shared" si="3"/>
        <v>2025-26</v>
      </c>
      <c r="G94" s="199"/>
      <c r="H94" s="117" t="s">
        <v>197</v>
      </c>
      <c r="I94" s="26">
        <f t="shared" si="4"/>
        <v>7189.7586453201966</v>
      </c>
      <c r="J94" s="100">
        <v>1</v>
      </c>
      <c r="K94" s="37"/>
      <c r="L94" s="26"/>
      <c r="M94" s="26"/>
      <c r="N94" s="26"/>
      <c r="O94" s="95">
        <v>2058807.6815405432</v>
      </c>
      <c r="P94" s="97">
        <f t="shared" si="5"/>
        <v>2058807.6815405432</v>
      </c>
      <c r="Q94" s="199"/>
    </row>
    <row r="95" spans="3:17">
      <c r="C95" s="26"/>
      <c r="D95" s="115" t="s">
        <v>300</v>
      </c>
      <c r="E95" s="34">
        <v>45839</v>
      </c>
      <c r="F95" s="92" t="str">
        <f t="shared" si="3"/>
        <v>2025-26</v>
      </c>
      <c r="G95" s="199"/>
      <c r="H95" s="117" t="s">
        <v>197</v>
      </c>
      <c r="I95" s="26">
        <f t="shared" si="4"/>
        <v>7189.7586453201966</v>
      </c>
      <c r="J95" s="100">
        <v>1</v>
      </c>
      <c r="K95" s="37"/>
      <c r="L95" s="26"/>
      <c r="M95" s="26"/>
      <c r="N95" s="26"/>
      <c r="O95" s="95">
        <v>679493.95134673547</v>
      </c>
      <c r="P95" s="97">
        <f t="shared" si="5"/>
        <v>679493.95134673547</v>
      </c>
      <c r="Q95" s="199"/>
    </row>
    <row r="96" spans="3:17">
      <c r="C96" s="26"/>
      <c r="D96" s="115" t="s">
        <v>301</v>
      </c>
      <c r="E96" s="34">
        <v>45839</v>
      </c>
      <c r="F96" s="92" t="str">
        <f t="shared" si="3"/>
        <v>2025-26</v>
      </c>
      <c r="G96" s="199"/>
      <c r="H96" s="117" t="s">
        <v>197</v>
      </c>
      <c r="I96" s="26">
        <f t="shared" si="4"/>
        <v>7189.7586453201966</v>
      </c>
      <c r="J96" s="100">
        <v>1</v>
      </c>
      <c r="K96" s="37"/>
      <c r="L96" s="26"/>
      <c r="M96" s="26"/>
      <c r="N96" s="26"/>
      <c r="O96" s="95">
        <v>58468.795948222396</v>
      </c>
      <c r="P96" s="97">
        <f t="shared" si="5"/>
        <v>58468.795948222396</v>
      </c>
      <c r="Q96" s="199"/>
    </row>
    <row r="97" spans="3:16" s="193" customFormat="1">
      <c r="C97" s="26"/>
      <c r="D97" s="115" t="s">
        <v>302</v>
      </c>
      <c r="E97" s="34">
        <v>45839</v>
      </c>
      <c r="F97" s="92" t="str">
        <f t="shared" si="3"/>
        <v>2025-26</v>
      </c>
      <c r="G97" s="199"/>
      <c r="H97" s="117" t="str">
        <f>H96</f>
        <v>Mamre Rd</v>
      </c>
      <c r="I97" s="26">
        <f t="shared" si="4"/>
        <v>7189.7586453201966</v>
      </c>
      <c r="J97" s="100">
        <f>J96</f>
        <v>1</v>
      </c>
      <c r="K97" s="37"/>
      <c r="L97" s="26"/>
      <c r="M97" s="26"/>
      <c r="N97" s="26"/>
      <c r="O97" s="95">
        <v>26069.58627280594</v>
      </c>
      <c r="P97" s="97">
        <f t="shared" si="5"/>
        <v>26069.58627280594</v>
      </c>
    </row>
    <row r="98" spans="3:16" s="193" customFormat="1">
      <c r="C98" s="26"/>
      <c r="D98" s="115"/>
      <c r="E98" s="34">
        <v>45839</v>
      </c>
      <c r="F98" s="92" t="str">
        <f>F97</f>
        <v>2025-26</v>
      </c>
      <c r="G98" s="199"/>
      <c r="H98" s="117" t="str">
        <f t="shared" ref="H98:I161" si="6">H97</f>
        <v>Mamre Rd</v>
      </c>
      <c r="I98" s="26">
        <f t="shared" si="4"/>
        <v>7189.7586453201966</v>
      </c>
      <c r="J98" s="100">
        <f t="shared" ref="J98:J161" si="7">J97</f>
        <v>1</v>
      </c>
      <c r="K98" s="37"/>
      <c r="L98" s="26"/>
      <c r="M98" s="26"/>
      <c r="N98" s="26"/>
      <c r="O98" s="95">
        <v>0</v>
      </c>
      <c r="P98" s="97">
        <f>IF(O98="-","-",IF(E98&lt;$E$15,0,O98*J98))</f>
        <v>0</v>
      </c>
    </row>
    <row r="99" spans="3:16" s="193" customFormat="1">
      <c r="C99" s="26"/>
      <c r="D99" s="115" t="s">
        <v>303</v>
      </c>
      <c r="E99" s="34">
        <v>45839</v>
      </c>
      <c r="F99" s="92" t="str">
        <f t="shared" si="3"/>
        <v>2025-26</v>
      </c>
      <c r="G99" s="199"/>
      <c r="H99" s="117" t="str">
        <f t="shared" si="6"/>
        <v>Mamre Rd</v>
      </c>
      <c r="I99" s="26">
        <f t="shared" si="4"/>
        <v>7189.7586453201966</v>
      </c>
      <c r="J99" s="100">
        <f t="shared" si="7"/>
        <v>1</v>
      </c>
      <c r="K99" s="37"/>
      <c r="L99" s="26"/>
      <c r="M99" s="26"/>
      <c r="N99" s="26"/>
      <c r="O99" s="95">
        <v>44850645.30803252</v>
      </c>
      <c r="P99" s="97">
        <f t="shared" si="5"/>
        <v>44850645.30803252</v>
      </c>
    </row>
    <row r="100" spans="3:16" s="193" customFormat="1">
      <c r="C100" s="26"/>
      <c r="D100" s="115" t="s">
        <v>242</v>
      </c>
      <c r="E100" s="34">
        <v>45839</v>
      </c>
      <c r="F100" s="92" t="str">
        <f t="shared" ref="F100:F163" si="8">IF(E100="","-",IF(E100&lt;$E$15,"ERROR - date outside of range",IF(MONTH(E100)&gt;=7,YEAR(E100)&amp;"-"&amp;RIGHT(YEAR(E100),2)+1,YEAR(E100)-1&amp;"-"&amp;RIGHT(YEAR(E100),2))))</f>
        <v>2025-26</v>
      </c>
      <c r="G100" s="199"/>
      <c r="H100" s="117" t="str">
        <f t="shared" si="6"/>
        <v>Mamre Rd</v>
      </c>
      <c r="I100" s="26">
        <f t="shared" si="4"/>
        <v>7189.7586453201966</v>
      </c>
      <c r="J100" s="100">
        <f t="shared" si="7"/>
        <v>1</v>
      </c>
      <c r="K100" s="37"/>
      <c r="L100" s="26"/>
      <c r="M100" s="26"/>
      <c r="N100" s="26"/>
      <c r="O100" s="95">
        <v>128642.76926092703</v>
      </c>
      <c r="P100" s="97">
        <f t="shared" si="5"/>
        <v>128642.76926092703</v>
      </c>
    </row>
    <row r="101" spans="3:16" s="193" customFormat="1">
      <c r="C101" s="26"/>
      <c r="D101" s="115" t="s">
        <v>304</v>
      </c>
      <c r="E101" s="34">
        <v>46204</v>
      </c>
      <c r="F101" s="92" t="str">
        <f t="shared" si="8"/>
        <v>2026-27</v>
      </c>
      <c r="G101" s="199"/>
      <c r="H101" s="117" t="str">
        <f t="shared" si="6"/>
        <v>Mamre Rd</v>
      </c>
      <c r="I101" s="26">
        <f t="shared" si="4"/>
        <v>7189.7586453201966</v>
      </c>
      <c r="J101" s="100">
        <f t="shared" si="7"/>
        <v>1</v>
      </c>
      <c r="K101" s="37"/>
      <c r="L101" s="26"/>
      <c r="M101" s="26"/>
      <c r="N101" s="26"/>
      <c r="O101" s="95">
        <v>219662.31809557742</v>
      </c>
      <c r="P101" s="97">
        <f t="shared" si="5"/>
        <v>219662.31809557742</v>
      </c>
    </row>
    <row r="102" spans="3:16" s="193" customFormat="1">
      <c r="C102" s="26"/>
      <c r="D102" s="115" t="s">
        <v>305</v>
      </c>
      <c r="E102" s="34">
        <v>46204</v>
      </c>
      <c r="F102" s="92" t="str">
        <f t="shared" si="8"/>
        <v>2026-27</v>
      </c>
      <c r="G102" s="199"/>
      <c r="H102" s="117" t="str">
        <f t="shared" si="6"/>
        <v>Mamre Rd</v>
      </c>
      <c r="I102" s="26">
        <f t="shared" si="4"/>
        <v>7189.7586453201966</v>
      </c>
      <c r="J102" s="100">
        <f t="shared" si="7"/>
        <v>1</v>
      </c>
      <c r="K102" s="37"/>
      <c r="L102" s="26"/>
      <c r="M102" s="26"/>
      <c r="N102" s="26"/>
      <c r="O102" s="95">
        <v>939701.16415365029</v>
      </c>
      <c r="P102" s="97">
        <f t="shared" si="5"/>
        <v>939701.16415365029</v>
      </c>
    </row>
    <row r="103" spans="3:16" s="193" customFormat="1">
      <c r="C103" s="26"/>
      <c r="D103" s="115" t="s">
        <v>306</v>
      </c>
      <c r="E103" s="34">
        <v>46204</v>
      </c>
      <c r="F103" s="92" t="str">
        <f t="shared" si="8"/>
        <v>2026-27</v>
      </c>
      <c r="G103" s="199"/>
      <c r="H103" s="117" t="str">
        <f t="shared" si="6"/>
        <v>Mamre Rd</v>
      </c>
      <c r="I103" s="26">
        <f t="shared" si="4"/>
        <v>7189.7586453201966</v>
      </c>
      <c r="J103" s="100">
        <f t="shared" si="7"/>
        <v>1</v>
      </c>
      <c r="K103" s="37"/>
      <c r="L103" s="26"/>
      <c r="M103" s="26"/>
      <c r="N103" s="26"/>
      <c r="O103" s="95">
        <v>657399.39036336495</v>
      </c>
      <c r="P103" s="97">
        <f t="shared" si="5"/>
        <v>657399.39036336495</v>
      </c>
    </row>
    <row r="104" spans="3:16" s="193" customFormat="1">
      <c r="C104" s="26"/>
      <c r="D104" s="115" t="s">
        <v>307</v>
      </c>
      <c r="E104" s="34">
        <v>46204</v>
      </c>
      <c r="F104" s="92" t="str">
        <f t="shared" si="8"/>
        <v>2026-27</v>
      </c>
      <c r="G104" s="199"/>
      <c r="H104" s="117" t="str">
        <f t="shared" si="6"/>
        <v>Mamre Rd</v>
      </c>
      <c r="I104" s="26">
        <f t="shared" si="4"/>
        <v>7189.7586453201966</v>
      </c>
      <c r="J104" s="100">
        <f t="shared" si="7"/>
        <v>1</v>
      </c>
      <c r="K104" s="37"/>
      <c r="L104" s="26"/>
      <c r="M104" s="26"/>
      <c r="N104" s="26"/>
      <c r="O104" s="95">
        <v>1189129.8210621641</v>
      </c>
      <c r="P104" s="97">
        <f t="shared" si="5"/>
        <v>1189129.8210621641</v>
      </c>
    </row>
    <row r="105" spans="3:16" s="193" customFormat="1">
      <c r="C105" s="26"/>
      <c r="D105" s="115" t="s">
        <v>308</v>
      </c>
      <c r="E105" s="34">
        <v>46204</v>
      </c>
      <c r="F105" s="92" t="str">
        <f t="shared" si="8"/>
        <v>2026-27</v>
      </c>
      <c r="G105" s="199"/>
      <c r="H105" s="117" t="str">
        <f t="shared" si="6"/>
        <v>Mamre Rd</v>
      </c>
      <c r="I105" s="26">
        <f t="shared" si="4"/>
        <v>7189.7586453201966</v>
      </c>
      <c r="J105" s="100">
        <f t="shared" si="7"/>
        <v>1</v>
      </c>
      <c r="K105" s="37"/>
      <c r="L105" s="26"/>
      <c r="M105" s="26"/>
      <c r="N105" s="26"/>
      <c r="O105" s="95">
        <v>690681.01817999687</v>
      </c>
      <c r="P105" s="97">
        <f t="shared" si="5"/>
        <v>690681.01817999687</v>
      </c>
    </row>
    <row r="106" spans="3:16" s="193" customFormat="1">
      <c r="C106" s="26"/>
      <c r="D106" s="115" t="s">
        <v>309</v>
      </c>
      <c r="E106" s="34">
        <v>46204</v>
      </c>
      <c r="F106" s="92" t="str">
        <f t="shared" si="8"/>
        <v>2026-27</v>
      </c>
      <c r="G106" s="199"/>
      <c r="H106" s="117" t="str">
        <f t="shared" si="6"/>
        <v>Mamre Rd</v>
      </c>
      <c r="I106" s="26">
        <f t="shared" si="4"/>
        <v>7189.7586453201966</v>
      </c>
      <c r="J106" s="100">
        <f t="shared" si="7"/>
        <v>1</v>
      </c>
      <c r="K106" s="37"/>
      <c r="L106" s="26"/>
      <c r="M106" s="26"/>
      <c r="N106" s="26"/>
      <c r="O106" s="95">
        <v>50446.688525889134</v>
      </c>
      <c r="P106" s="97">
        <f t="shared" si="5"/>
        <v>50446.688525889134</v>
      </c>
    </row>
    <row r="107" spans="3:16" s="193" customFormat="1">
      <c r="C107" s="26"/>
      <c r="D107" s="115" t="s">
        <v>310</v>
      </c>
      <c r="E107" s="34">
        <v>46204</v>
      </c>
      <c r="F107" s="92" t="str">
        <f t="shared" si="8"/>
        <v>2026-27</v>
      </c>
      <c r="G107" s="199"/>
      <c r="H107" s="117" t="str">
        <f t="shared" si="6"/>
        <v>Mamre Rd</v>
      </c>
      <c r="I107" s="26">
        <f t="shared" si="4"/>
        <v>7189.7586453201966</v>
      </c>
      <c r="J107" s="100">
        <f t="shared" si="7"/>
        <v>1</v>
      </c>
      <c r="K107" s="37"/>
      <c r="L107" s="26"/>
      <c r="M107" s="26"/>
      <c r="N107" s="26"/>
      <c r="O107" s="95">
        <v>7632.181104400408</v>
      </c>
      <c r="P107" s="97">
        <f t="shared" si="5"/>
        <v>7632.181104400408</v>
      </c>
    </row>
    <row r="108" spans="3:16" s="193" customFormat="1">
      <c r="C108" s="26"/>
      <c r="D108" s="115" t="s">
        <v>311</v>
      </c>
      <c r="E108" s="34">
        <v>46204</v>
      </c>
      <c r="F108" s="92" t="str">
        <f t="shared" si="8"/>
        <v>2026-27</v>
      </c>
      <c r="G108" s="199"/>
      <c r="H108" s="117" t="str">
        <f t="shared" si="6"/>
        <v>Mamre Rd</v>
      </c>
      <c r="I108" s="26">
        <f t="shared" si="4"/>
        <v>7189.7586453201966</v>
      </c>
      <c r="J108" s="100">
        <f t="shared" si="7"/>
        <v>1</v>
      </c>
      <c r="K108" s="37"/>
      <c r="L108" s="26"/>
      <c r="M108" s="26"/>
      <c r="N108" s="26"/>
      <c r="O108" s="95">
        <v>89074.605198658654</v>
      </c>
      <c r="P108" s="97">
        <f t="shared" si="5"/>
        <v>89074.605198658654</v>
      </c>
    </row>
    <row r="109" spans="3:16" s="193" customFormat="1">
      <c r="C109" s="26"/>
      <c r="D109" s="115" t="s">
        <v>312</v>
      </c>
      <c r="E109" s="34">
        <v>46204</v>
      </c>
      <c r="F109" s="92" t="str">
        <f t="shared" si="8"/>
        <v>2026-27</v>
      </c>
      <c r="G109" s="199"/>
      <c r="H109" s="117" t="str">
        <f t="shared" si="6"/>
        <v>Mamre Rd</v>
      </c>
      <c r="I109" s="26">
        <f t="shared" si="4"/>
        <v>7189.7586453201966</v>
      </c>
      <c r="J109" s="100">
        <f t="shared" si="7"/>
        <v>1</v>
      </c>
      <c r="K109" s="37"/>
      <c r="L109" s="26"/>
      <c r="M109" s="26"/>
      <c r="N109" s="26"/>
      <c r="O109" s="95">
        <v>80067.208859015896</v>
      </c>
      <c r="P109" s="97">
        <f t="shared" si="5"/>
        <v>80067.208859015896</v>
      </c>
    </row>
    <row r="110" spans="3:16" s="193" customFormat="1">
      <c r="C110" s="26"/>
      <c r="D110" s="115" t="s">
        <v>313</v>
      </c>
      <c r="E110" s="34">
        <v>46204</v>
      </c>
      <c r="F110" s="92" t="str">
        <f t="shared" si="8"/>
        <v>2026-27</v>
      </c>
      <c r="G110" s="199"/>
      <c r="H110" s="117" t="str">
        <f t="shared" si="6"/>
        <v>Mamre Rd</v>
      </c>
      <c r="I110" s="26">
        <f t="shared" si="4"/>
        <v>7189.7586453201966</v>
      </c>
      <c r="J110" s="100">
        <f t="shared" si="7"/>
        <v>1</v>
      </c>
      <c r="K110" s="37"/>
      <c r="L110" s="26"/>
      <c r="M110" s="26"/>
      <c r="N110" s="26"/>
      <c r="O110" s="95">
        <v>84768.056339381277</v>
      </c>
      <c r="P110" s="97">
        <f t="shared" si="5"/>
        <v>84768.056339381277</v>
      </c>
    </row>
    <row r="111" spans="3:16" s="193" customFormat="1">
      <c r="C111" s="26"/>
      <c r="D111" s="115" t="s">
        <v>314</v>
      </c>
      <c r="E111" s="34">
        <v>46204</v>
      </c>
      <c r="F111" s="92" t="str">
        <f t="shared" si="8"/>
        <v>2026-27</v>
      </c>
      <c r="G111" s="199"/>
      <c r="H111" s="117" t="str">
        <f t="shared" si="6"/>
        <v>Mamre Rd</v>
      </c>
      <c r="I111" s="26">
        <f t="shared" si="4"/>
        <v>7189.7586453201966</v>
      </c>
      <c r="J111" s="100">
        <f t="shared" si="7"/>
        <v>1</v>
      </c>
      <c r="K111" s="37"/>
      <c r="L111" s="26"/>
      <c r="M111" s="26"/>
      <c r="N111" s="26"/>
      <c r="O111" s="95">
        <v>65642.37778999265</v>
      </c>
      <c r="P111" s="97">
        <f t="shared" si="5"/>
        <v>65642.37778999265</v>
      </c>
    </row>
    <row r="112" spans="3:16" s="193" customFormat="1">
      <c r="C112" s="26"/>
      <c r="D112" s="115" t="s">
        <v>315</v>
      </c>
      <c r="E112" s="34">
        <v>46204</v>
      </c>
      <c r="F112" s="92" t="str">
        <f t="shared" si="8"/>
        <v>2026-27</v>
      </c>
      <c r="G112" s="199"/>
      <c r="H112" s="117" t="str">
        <f t="shared" si="6"/>
        <v>Mamre Rd</v>
      </c>
      <c r="I112" s="26">
        <f t="shared" si="4"/>
        <v>7189.7586453201966</v>
      </c>
      <c r="J112" s="100">
        <f t="shared" si="7"/>
        <v>1</v>
      </c>
      <c r="K112" s="37"/>
      <c r="L112" s="26"/>
      <c r="M112" s="26"/>
      <c r="N112" s="26"/>
      <c r="O112" s="95">
        <v>39112.549781212947</v>
      </c>
      <c r="P112" s="97">
        <f t="shared" si="5"/>
        <v>39112.549781212947</v>
      </c>
    </row>
    <row r="113" spans="3:16" s="193" customFormat="1">
      <c r="C113" s="26"/>
      <c r="D113" s="115" t="s">
        <v>316</v>
      </c>
      <c r="E113" s="34">
        <v>46204</v>
      </c>
      <c r="F113" s="92" t="str">
        <f t="shared" si="8"/>
        <v>2026-27</v>
      </c>
      <c r="G113" s="199"/>
      <c r="H113" s="117" t="str">
        <f t="shared" si="6"/>
        <v>Mamre Rd</v>
      </c>
      <c r="I113" s="26">
        <f t="shared" si="4"/>
        <v>7189.7586453201966</v>
      </c>
      <c r="J113" s="100">
        <f t="shared" si="7"/>
        <v>1</v>
      </c>
      <c r="K113" s="37"/>
      <c r="L113" s="26"/>
      <c r="M113" s="26"/>
      <c r="N113" s="26"/>
      <c r="O113" s="95">
        <v>195206.14829123241</v>
      </c>
      <c r="P113" s="97">
        <f t="shared" si="5"/>
        <v>195206.14829123241</v>
      </c>
    </row>
    <row r="114" spans="3:16" s="193" customFormat="1">
      <c r="C114" s="26"/>
      <c r="D114" s="115" t="s">
        <v>317</v>
      </c>
      <c r="E114" s="34">
        <v>46204</v>
      </c>
      <c r="F114" s="92" t="str">
        <f t="shared" si="8"/>
        <v>2026-27</v>
      </c>
      <c r="G114" s="199"/>
      <c r="H114" s="117" t="str">
        <f t="shared" si="6"/>
        <v>Mamre Rd</v>
      </c>
      <c r="I114" s="26">
        <f t="shared" si="4"/>
        <v>7189.7586453201966</v>
      </c>
      <c r="J114" s="100">
        <f t="shared" si="7"/>
        <v>1</v>
      </c>
      <c r="K114" s="37"/>
      <c r="L114" s="26"/>
      <c r="M114" s="26"/>
      <c r="N114" s="26"/>
      <c r="O114" s="95">
        <v>14734350.2614337</v>
      </c>
      <c r="P114" s="97">
        <f t="shared" si="5"/>
        <v>14734350.2614337</v>
      </c>
    </row>
    <row r="115" spans="3:16" s="193" customFormat="1">
      <c r="C115" s="26"/>
      <c r="D115" s="115" t="s">
        <v>318</v>
      </c>
      <c r="E115" s="34">
        <v>46204</v>
      </c>
      <c r="F115" s="92" t="str">
        <f t="shared" si="8"/>
        <v>2026-27</v>
      </c>
      <c r="G115" s="199"/>
      <c r="H115" s="117" t="str">
        <f t="shared" si="6"/>
        <v>Mamre Rd</v>
      </c>
      <c r="I115" s="26">
        <f t="shared" si="4"/>
        <v>7189.7586453201966</v>
      </c>
      <c r="J115" s="100">
        <f t="shared" si="7"/>
        <v>1</v>
      </c>
      <c r="K115" s="37"/>
      <c r="L115" s="26"/>
      <c r="M115" s="26"/>
      <c r="N115" s="26"/>
      <c r="O115" s="95">
        <v>3946795.6957895923</v>
      </c>
      <c r="P115" s="97">
        <f t="shared" si="5"/>
        <v>3946795.6957895923</v>
      </c>
    </row>
    <row r="116" spans="3:16" s="193" customFormat="1">
      <c r="C116" s="26"/>
      <c r="D116" s="115" t="s">
        <v>319</v>
      </c>
      <c r="E116" s="34">
        <v>46204</v>
      </c>
      <c r="F116" s="92" t="str">
        <f t="shared" si="8"/>
        <v>2026-27</v>
      </c>
      <c r="G116" s="199"/>
      <c r="H116" s="117" t="str">
        <f t="shared" si="6"/>
        <v>Mamre Rd</v>
      </c>
      <c r="I116" s="26">
        <f t="shared" si="4"/>
        <v>7189.7586453201966</v>
      </c>
      <c r="J116" s="100">
        <f t="shared" si="7"/>
        <v>1</v>
      </c>
      <c r="K116" s="37"/>
      <c r="L116" s="26"/>
      <c r="M116" s="26"/>
      <c r="N116" s="26"/>
      <c r="O116" s="95">
        <v>1482066.9555399988</v>
      </c>
      <c r="P116" s="97">
        <f t="shared" si="5"/>
        <v>1482066.9555399988</v>
      </c>
    </row>
    <row r="117" spans="3:16" s="193" customFormat="1">
      <c r="C117" s="26"/>
      <c r="D117" s="115" t="s">
        <v>320</v>
      </c>
      <c r="E117" s="34">
        <v>46204</v>
      </c>
      <c r="F117" s="92" t="str">
        <f t="shared" si="8"/>
        <v>2026-27</v>
      </c>
      <c r="G117" s="199"/>
      <c r="H117" s="117" t="str">
        <f t="shared" si="6"/>
        <v>Mamre Rd</v>
      </c>
      <c r="I117" s="26">
        <f t="shared" si="4"/>
        <v>7189.7586453201966</v>
      </c>
      <c r="J117" s="100">
        <f t="shared" si="7"/>
        <v>1</v>
      </c>
      <c r="K117" s="37"/>
      <c r="L117" s="26"/>
      <c r="M117" s="26"/>
      <c r="N117" s="26"/>
      <c r="O117" s="95">
        <v>1175779.213340184</v>
      </c>
      <c r="P117" s="97">
        <f t="shared" si="5"/>
        <v>1175779.213340184</v>
      </c>
    </row>
    <row r="118" spans="3:16" s="193" customFormat="1">
      <c r="C118" s="26"/>
      <c r="D118" s="115" t="s">
        <v>321</v>
      </c>
      <c r="E118" s="34">
        <v>46204</v>
      </c>
      <c r="F118" s="92" t="str">
        <f t="shared" si="8"/>
        <v>2026-27</v>
      </c>
      <c r="G118" s="199"/>
      <c r="H118" s="117" t="str">
        <f t="shared" si="6"/>
        <v>Mamre Rd</v>
      </c>
      <c r="I118" s="26">
        <f t="shared" si="4"/>
        <v>7189.7586453201966</v>
      </c>
      <c r="J118" s="100">
        <f t="shared" si="7"/>
        <v>1</v>
      </c>
      <c r="K118" s="37"/>
      <c r="L118" s="26"/>
      <c r="M118" s="26"/>
      <c r="N118" s="26"/>
      <c r="O118" s="95">
        <v>18477985.771154288</v>
      </c>
      <c r="P118" s="97">
        <f t="shared" si="5"/>
        <v>18477985.771154288</v>
      </c>
    </row>
    <row r="119" spans="3:16" s="193" customFormat="1">
      <c r="C119" s="26"/>
      <c r="D119" s="115" t="s">
        <v>322</v>
      </c>
      <c r="E119" s="34">
        <v>46204</v>
      </c>
      <c r="F119" s="92" t="str">
        <f t="shared" si="8"/>
        <v>2026-27</v>
      </c>
      <c r="G119" s="199"/>
      <c r="H119" s="117" t="str">
        <f t="shared" si="6"/>
        <v>Mamre Rd</v>
      </c>
      <c r="I119" s="26">
        <f t="shared" si="4"/>
        <v>7189.7586453201966</v>
      </c>
      <c r="J119" s="100">
        <f t="shared" si="7"/>
        <v>1</v>
      </c>
      <c r="K119" s="37"/>
      <c r="L119" s="26"/>
      <c r="M119" s="26"/>
      <c r="N119" s="26"/>
      <c r="O119" s="95">
        <v>8263513.2858580723</v>
      </c>
      <c r="P119" s="97">
        <f t="shared" si="5"/>
        <v>8263513.2858580723</v>
      </c>
    </row>
    <row r="120" spans="3:16" s="193" customFormat="1">
      <c r="C120" s="26"/>
      <c r="D120" s="115" t="s">
        <v>323</v>
      </c>
      <c r="E120" s="34">
        <v>46204</v>
      </c>
      <c r="F120" s="92" t="str">
        <f t="shared" si="8"/>
        <v>2026-27</v>
      </c>
      <c r="G120" s="199"/>
      <c r="H120" s="117" t="str">
        <f t="shared" si="6"/>
        <v>Mamre Rd</v>
      </c>
      <c r="I120" s="26">
        <f t="shared" si="4"/>
        <v>7189.7586453201966</v>
      </c>
      <c r="J120" s="100">
        <f t="shared" si="7"/>
        <v>1</v>
      </c>
      <c r="K120" s="37"/>
      <c r="L120" s="26"/>
      <c r="M120" s="26"/>
      <c r="N120" s="26"/>
      <c r="O120" s="95">
        <v>7265819.5178159187</v>
      </c>
      <c r="P120" s="97">
        <f t="shared" si="5"/>
        <v>7265819.5178159187</v>
      </c>
    </row>
    <row r="121" spans="3:16" s="193" customFormat="1">
      <c r="C121" s="26"/>
      <c r="D121" s="115" t="s">
        <v>324</v>
      </c>
      <c r="E121" s="34">
        <v>46204</v>
      </c>
      <c r="F121" s="92" t="str">
        <f t="shared" si="8"/>
        <v>2026-27</v>
      </c>
      <c r="G121" s="199"/>
      <c r="H121" s="117" t="str">
        <f t="shared" si="6"/>
        <v>Mamre Rd</v>
      </c>
      <c r="I121" s="26">
        <f t="shared" si="4"/>
        <v>7189.7586453201966</v>
      </c>
      <c r="J121" s="100">
        <f t="shared" si="7"/>
        <v>1</v>
      </c>
      <c r="K121" s="37"/>
      <c r="L121" s="26"/>
      <c r="M121" s="26"/>
      <c r="N121" s="26"/>
      <c r="O121" s="95">
        <v>14323281.584138226</v>
      </c>
      <c r="P121" s="97">
        <f t="shared" si="5"/>
        <v>14323281.584138226</v>
      </c>
    </row>
    <row r="122" spans="3:16" s="193" customFormat="1">
      <c r="C122" s="26"/>
      <c r="D122" s="115" t="s">
        <v>325</v>
      </c>
      <c r="E122" s="34">
        <v>46204</v>
      </c>
      <c r="F122" s="92" t="str">
        <f t="shared" si="8"/>
        <v>2026-27</v>
      </c>
      <c r="G122" s="199"/>
      <c r="H122" s="117" t="str">
        <f t="shared" si="6"/>
        <v>Mamre Rd</v>
      </c>
      <c r="I122" s="26">
        <f t="shared" si="4"/>
        <v>7189.7586453201966</v>
      </c>
      <c r="J122" s="100">
        <f t="shared" si="7"/>
        <v>1</v>
      </c>
      <c r="K122" s="37"/>
      <c r="L122" s="26"/>
      <c r="M122" s="26"/>
      <c r="N122" s="26"/>
      <c r="O122" s="95">
        <v>3028414.5881420407</v>
      </c>
      <c r="P122" s="97">
        <f t="shared" si="5"/>
        <v>3028414.5881420407</v>
      </c>
    </row>
    <row r="123" spans="3:16" s="193" customFormat="1">
      <c r="C123" s="26"/>
      <c r="D123" s="115" t="s">
        <v>326</v>
      </c>
      <c r="E123" s="34">
        <v>46204</v>
      </c>
      <c r="F123" s="92" t="str">
        <f t="shared" si="8"/>
        <v>2026-27</v>
      </c>
      <c r="G123" s="199"/>
      <c r="H123" s="117" t="str">
        <f t="shared" si="6"/>
        <v>Mamre Rd</v>
      </c>
      <c r="I123" s="26">
        <f t="shared" si="4"/>
        <v>7189.7586453201966</v>
      </c>
      <c r="J123" s="100">
        <f t="shared" si="7"/>
        <v>1</v>
      </c>
      <c r="K123" s="37"/>
      <c r="L123" s="26"/>
      <c r="M123" s="26"/>
      <c r="N123" s="26"/>
      <c r="O123" s="95">
        <v>5601608.5078385593</v>
      </c>
      <c r="P123" s="97">
        <f t="shared" si="5"/>
        <v>5601608.5078385593</v>
      </c>
    </row>
    <row r="124" spans="3:16" s="193" customFormat="1">
      <c r="C124" s="26"/>
      <c r="D124" s="115" t="s">
        <v>327</v>
      </c>
      <c r="E124" s="34">
        <v>46204</v>
      </c>
      <c r="F124" s="92" t="str">
        <f t="shared" si="8"/>
        <v>2026-27</v>
      </c>
      <c r="G124" s="199"/>
      <c r="H124" s="117" t="str">
        <f t="shared" si="6"/>
        <v>Mamre Rd</v>
      </c>
      <c r="I124" s="26">
        <f t="shared" si="4"/>
        <v>7189.7586453201966</v>
      </c>
      <c r="J124" s="100">
        <f t="shared" si="7"/>
        <v>1</v>
      </c>
      <c r="K124" s="37"/>
      <c r="L124" s="26"/>
      <c r="M124" s="26"/>
      <c r="N124" s="26"/>
      <c r="O124" s="95">
        <v>4058625.2330851238</v>
      </c>
      <c r="P124" s="97">
        <f t="shared" si="5"/>
        <v>4058625.2330851238</v>
      </c>
    </row>
    <row r="125" spans="3:16" s="193" customFormat="1">
      <c r="C125" s="26"/>
      <c r="D125" s="115" t="s">
        <v>328</v>
      </c>
      <c r="E125" s="34">
        <v>46204</v>
      </c>
      <c r="F125" s="92" t="str">
        <f t="shared" si="8"/>
        <v>2026-27</v>
      </c>
      <c r="G125" s="199"/>
      <c r="H125" s="117" t="str">
        <f t="shared" si="6"/>
        <v>Mamre Rd</v>
      </c>
      <c r="I125" s="26">
        <f t="shared" si="4"/>
        <v>7189.7586453201966</v>
      </c>
      <c r="J125" s="100">
        <f t="shared" si="7"/>
        <v>1</v>
      </c>
      <c r="K125" s="37"/>
      <c r="L125" s="26"/>
      <c r="M125" s="26"/>
      <c r="N125" s="26"/>
      <c r="O125" s="95">
        <v>2468001.9463999569</v>
      </c>
      <c r="P125" s="97">
        <f t="shared" si="5"/>
        <v>2468001.9463999569</v>
      </c>
    </row>
    <row r="126" spans="3:16" s="193" customFormat="1">
      <c r="C126" s="26"/>
      <c r="D126" s="115" t="s">
        <v>329</v>
      </c>
      <c r="E126" s="34">
        <v>46204</v>
      </c>
      <c r="F126" s="92" t="str">
        <f t="shared" si="8"/>
        <v>2026-27</v>
      </c>
      <c r="G126" s="199"/>
      <c r="H126" s="117" t="str">
        <f t="shared" si="6"/>
        <v>Mamre Rd</v>
      </c>
      <c r="I126" s="26">
        <f t="shared" si="4"/>
        <v>7189.7586453201966</v>
      </c>
      <c r="J126" s="100">
        <f t="shared" si="7"/>
        <v>1</v>
      </c>
      <c r="K126" s="37"/>
      <c r="L126" s="26"/>
      <c r="M126" s="26"/>
      <c r="N126" s="26"/>
      <c r="O126" s="95">
        <v>44396565.354082718</v>
      </c>
      <c r="P126" s="97">
        <f t="shared" si="5"/>
        <v>44396565.354082718</v>
      </c>
    </row>
    <row r="127" spans="3:16" s="193" customFormat="1">
      <c r="C127" s="26"/>
      <c r="D127" s="115" t="s">
        <v>330</v>
      </c>
      <c r="E127" s="34">
        <v>46204</v>
      </c>
      <c r="F127" s="92" t="str">
        <f t="shared" si="8"/>
        <v>2026-27</v>
      </c>
      <c r="G127" s="199"/>
      <c r="H127" s="117" t="str">
        <f t="shared" si="6"/>
        <v>Mamre Rd</v>
      </c>
      <c r="I127" s="26">
        <f t="shared" si="4"/>
        <v>7189.7586453201966</v>
      </c>
      <c r="J127" s="100">
        <f t="shared" si="7"/>
        <v>1</v>
      </c>
      <c r="K127" s="37"/>
      <c r="L127" s="26"/>
      <c r="M127" s="26"/>
      <c r="N127" s="26"/>
      <c r="O127" s="95">
        <v>550468.80000000005</v>
      </c>
      <c r="P127" s="97">
        <f t="shared" si="5"/>
        <v>550468.80000000005</v>
      </c>
    </row>
    <row r="128" spans="3:16" s="193" customFormat="1">
      <c r="C128" s="26"/>
      <c r="D128" s="115" t="s">
        <v>331</v>
      </c>
      <c r="E128" s="34">
        <v>46204</v>
      </c>
      <c r="F128" s="92" t="str">
        <f t="shared" si="8"/>
        <v>2026-27</v>
      </c>
      <c r="G128" s="199"/>
      <c r="H128" s="117" t="str">
        <f t="shared" si="6"/>
        <v>Mamre Rd</v>
      </c>
      <c r="I128" s="26">
        <f t="shared" si="4"/>
        <v>7189.7586453201966</v>
      </c>
      <c r="J128" s="100">
        <f t="shared" si="7"/>
        <v>1</v>
      </c>
      <c r="K128" s="37"/>
      <c r="L128" s="26"/>
      <c r="M128" s="26"/>
      <c r="N128" s="26"/>
      <c r="O128" s="95">
        <v>550468.80000000005</v>
      </c>
      <c r="P128" s="97">
        <f t="shared" si="5"/>
        <v>550468.80000000005</v>
      </c>
    </row>
    <row r="129" spans="3:16" s="193" customFormat="1">
      <c r="C129" s="26"/>
      <c r="D129" s="115" t="s">
        <v>332</v>
      </c>
      <c r="E129" s="34">
        <v>46204</v>
      </c>
      <c r="F129" s="92" t="str">
        <f t="shared" si="8"/>
        <v>2026-27</v>
      </c>
      <c r="G129" s="199"/>
      <c r="H129" s="117" t="str">
        <f t="shared" si="6"/>
        <v>Mamre Rd</v>
      </c>
      <c r="I129" s="26">
        <f t="shared" si="4"/>
        <v>7189.7586453201966</v>
      </c>
      <c r="J129" s="100">
        <f t="shared" si="7"/>
        <v>1</v>
      </c>
      <c r="K129" s="37"/>
      <c r="L129" s="26"/>
      <c r="M129" s="26"/>
      <c r="N129" s="26"/>
      <c r="O129" s="95">
        <v>144678.09248575623</v>
      </c>
      <c r="P129" s="97">
        <f t="shared" si="5"/>
        <v>144678.09248575623</v>
      </c>
    </row>
    <row r="130" spans="3:16" s="193" customFormat="1">
      <c r="C130" s="26"/>
      <c r="D130" s="115" t="s">
        <v>333</v>
      </c>
      <c r="E130" s="34">
        <v>46204</v>
      </c>
      <c r="F130" s="92" t="str">
        <f t="shared" si="8"/>
        <v>2026-27</v>
      </c>
      <c r="G130" s="199"/>
      <c r="H130" s="117" t="str">
        <f t="shared" si="6"/>
        <v>Mamre Rd</v>
      </c>
      <c r="I130" s="26">
        <f t="shared" si="4"/>
        <v>7189.7586453201966</v>
      </c>
      <c r="J130" s="100">
        <f t="shared" si="7"/>
        <v>1</v>
      </c>
      <c r="K130" s="37"/>
      <c r="L130" s="26"/>
      <c r="M130" s="26"/>
      <c r="N130" s="26"/>
      <c r="O130" s="95">
        <v>1181000.2359983989</v>
      </c>
      <c r="P130" s="97">
        <f t="shared" si="5"/>
        <v>1181000.2359983989</v>
      </c>
    </row>
    <row r="131" spans="3:16" s="193" customFormat="1">
      <c r="C131" s="26"/>
      <c r="D131" s="115" t="s">
        <v>334</v>
      </c>
      <c r="E131" s="34">
        <v>46204</v>
      </c>
      <c r="F131" s="92" t="str">
        <f t="shared" si="8"/>
        <v>2026-27</v>
      </c>
      <c r="G131" s="199"/>
      <c r="H131" s="117" t="str">
        <f t="shared" si="6"/>
        <v>Mamre Rd</v>
      </c>
      <c r="I131" s="26">
        <f t="shared" si="4"/>
        <v>7189.7586453201966</v>
      </c>
      <c r="J131" s="100">
        <f t="shared" si="7"/>
        <v>1</v>
      </c>
      <c r="K131" s="37"/>
      <c r="L131" s="26"/>
      <c r="M131" s="26"/>
      <c r="N131" s="26"/>
      <c r="O131" s="95">
        <v>516455.9968989878</v>
      </c>
      <c r="P131" s="97">
        <f t="shared" si="5"/>
        <v>516455.9968989878</v>
      </c>
    </row>
    <row r="132" spans="3:16" s="193" customFormat="1">
      <c r="C132" s="26"/>
      <c r="D132" s="115" t="s">
        <v>335</v>
      </c>
      <c r="E132" s="34">
        <v>46204</v>
      </c>
      <c r="F132" s="92" t="str">
        <f t="shared" si="8"/>
        <v>2026-27</v>
      </c>
      <c r="G132" s="199"/>
      <c r="H132" s="117" t="str">
        <f t="shared" si="6"/>
        <v>Mamre Rd</v>
      </c>
      <c r="I132" s="26">
        <f t="shared" si="4"/>
        <v>7189.7586453201966</v>
      </c>
      <c r="J132" s="100">
        <f t="shared" si="7"/>
        <v>1</v>
      </c>
      <c r="K132" s="37"/>
      <c r="L132" s="26"/>
      <c r="M132" s="26"/>
      <c r="N132" s="26"/>
      <c r="O132" s="95">
        <v>2268967.7698865705</v>
      </c>
      <c r="P132" s="97">
        <f t="shared" si="5"/>
        <v>2268967.7698865705</v>
      </c>
    </row>
    <row r="133" spans="3:16" s="193" customFormat="1">
      <c r="C133" s="26"/>
      <c r="D133" s="115" t="s">
        <v>336</v>
      </c>
      <c r="E133" s="34">
        <v>46204</v>
      </c>
      <c r="F133" s="92" t="str">
        <f t="shared" si="8"/>
        <v>2026-27</v>
      </c>
      <c r="G133" s="199"/>
      <c r="H133" s="117" t="str">
        <f t="shared" si="6"/>
        <v>Mamre Rd</v>
      </c>
      <c r="I133" s="26">
        <f t="shared" si="4"/>
        <v>7189.7586453201966</v>
      </c>
      <c r="J133" s="100">
        <f t="shared" si="7"/>
        <v>1</v>
      </c>
      <c r="K133" s="37"/>
      <c r="L133" s="26"/>
      <c r="M133" s="26"/>
      <c r="N133" s="26"/>
      <c r="O133" s="95">
        <v>31397.155487360295</v>
      </c>
      <c r="P133" s="97">
        <f t="shared" si="5"/>
        <v>31397.155487360295</v>
      </c>
    </row>
    <row r="134" spans="3:16" s="193" customFormat="1">
      <c r="C134" s="26"/>
      <c r="D134" s="115" t="s">
        <v>337</v>
      </c>
      <c r="E134" s="34">
        <v>46204</v>
      </c>
      <c r="F134" s="92" t="str">
        <f t="shared" si="8"/>
        <v>2026-27</v>
      </c>
      <c r="G134" s="199"/>
      <c r="H134" s="117" t="str">
        <f t="shared" si="6"/>
        <v>Mamre Rd</v>
      </c>
      <c r="I134" s="26">
        <f t="shared" si="4"/>
        <v>7189.7586453201966</v>
      </c>
      <c r="J134" s="100">
        <f t="shared" si="7"/>
        <v>1</v>
      </c>
      <c r="K134" s="37"/>
      <c r="L134" s="26"/>
      <c r="M134" s="26"/>
      <c r="N134" s="26"/>
      <c r="O134" s="95">
        <v>58608.023576405882</v>
      </c>
      <c r="P134" s="97">
        <f t="shared" si="5"/>
        <v>58608.023576405882</v>
      </c>
    </row>
    <row r="135" spans="3:16" s="193" customFormat="1">
      <c r="C135" s="26"/>
      <c r="D135" s="115" t="s">
        <v>338</v>
      </c>
      <c r="E135" s="34">
        <v>46204</v>
      </c>
      <c r="F135" s="92" t="str">
        <f t="shared" si="8"/>
        <v>2026-27</v>
      </c>
      <c r="G135" s="199"/>
      <c r="H135" s="117" t="str">
        <f t="shared" si="6"/>
        <v>Mamre Rd</v>
      </c>
      <c r="I135" s="26">
        <f t="shared" si="4"/>
        <v>7189.7586453201966</v>
      </c>
      <c r="J135" s="100">
        <f t="shared" si="7"/>
        <v>1</v>
      </c>
      <c r="K135" s="37"/>
      <c r="L135" s="26"/>
      <c r="M135" s="26"/>
      <c r="N135" s="26"/>
      <c r="O135" s="95">
        <v>2187130.7075349651</v>
      </c>
      <c r="P135" s="97">
        <f t="shared" si="5"/>
        <v>2187130.7075349651</v>
      </c>
    </row>
    <row r="136" spans="3:16" s="193" customFormat="1">
      <c r="C136" s="26"/>
      <c r="D136" s="115" t="s">
        <v>339</v>
      </c>
      <c r="E136" s="34">
        <v>46204</v>
      </c>
      <c r="F136" s="92" t="str">
        <f t="shared" si="8"/>
        <v>2026-27</v>
      </c>
      <c r="G136" s="199"/>
      <c r="H136" s="117" t="str">
        <f t="shared" si="6"/>
        <v>Mamre Rd</v>
      </c>
      <c r="I136" s="26">
        <f t="shared" si="4"/>
        <v>7189.7586453201966</v>
      </c>
      <c r="J136" s="100">
        <f t="shared" si="7"/>
        <v>1</v>
      </c>
      <c r="K136" s="37"/>
      <c r="L136" s="26"/>
      <c r="M136" s="26"/>
      <c r="N136" s="26"/>
      <c r="O136" s="95">
        <v>1842998.2165430363</v>
      </c>
      <c r="P136" s="97">
        <f t="shared" si="5"/>
        <v>1842998.2165430363</v>
      </c>
    </row>
    <row r="137" spans="3:16" s="193" customFormat="1">
      <c r="C137" s="26"/>
      <c r="D137" s="115" t="s">
        <v>340</v>
      </c>
      <c r="E137" s="34">
        <v>46204</v>
      </c>
      <c r="F137" s="92" t="str">
        <f t="shared" si="8"/>
        <v>2026-27</v>
      </c>
      <c r="G137" s="199"/>
      <c r="H137" s="117" t="str">
        <f t="shared" si="6"/>
        <v>Mamre Rd</v>
      </c>
      <c r="I137" s="26">
        <f t="shared" si="4"/>
        <v>7189.7586453201966</v>
      </c>
      <c r="J137" s="100">
        <f t="shared" si="7"/>
        <v>1</v>
      </c>
      <c r="K137" s="37"/>
      <c r="L137" s="26"/>
      <c r="M137" s="26"/>
      <c r="N137" s="26"/>
      <c r="O137" s="95">
        <v>1244359.8017964812</v>
      </c>
      <c r="P137" s="97">
        <f t="shared" si="5"/>
        <v>1244359.8017964812</v>
      </c>
    </row>
    <row r="138" spans="3:16" s="193" customFormat="1">
      <c r="C138" s="26"/>
      <c r="D138" s="115" t="s">
        <v>341</v>
      </c>
      <c r="E138" s="34">
        <v>46204</v>
      </c>
      <c r="F138" s="92" t="str">
        <f t="shared" si="8"/>
        <v>2026-27</v>
      </c>
      <c r="G138" s="199"/>
      <c r="H138" s="117" t="str">
        <f t="shared" si="6"/>
        <v>Mamre Rd</v>
      </c>
      <c r="I138" s="26">
        <f t="shared" si="4"/>
        <v>7189.7586453201966</v>
      </c>
      <c r="J138" s="100">
        <f t="shared" si="7"/>
        <v>1</v>
      </c>
      <c r="K138" s="37"/>
      <c r="L138" s="26"/>
      <c r="M138" s="26"/>
      <c r="N138" s="26"/>
      <c r="O138" s="95">
        <v>1013007.4537637893</v>
      </c>
      <c r="P138" s="97">
        <f t="shared" si="5"/>
        <v>1013007.4537637893</v>
      </c>
    </row>
    <row r="139" spans="3:16" s="193" customFormat="1">
      <c r="C139" s="26"/>
      <c r="D139" s="115" t="s">
        <v>342</v>
      </c>
      <c r="E139" s="34">
        <v>46204</v>
      </c>
      <c r="F139" s="92" t="str">
        <f t="shared" si="8"/>
        <v>2026-27</v>
      </c>
      <c r="G139" s="199"/>
      <c r="H139" s="117" t="str">
        <f t="shared" si="6"/>
        <v>Mamre Rd</v>
      </c>
      <c r="I139" s="26">
        <f t="shared" si="4"/>
        <v>7189.7586453201966</v>
      </c>
      <c r="J139" s="100">
        <f t="shared" si="7"/>
        <v>1</v>
      </c>
      <c r="K139" s="37"/>
      <c r="L139" s="26"/>
      <c r="M139" s="26"/>
      <c r="N139" s="26"/>
      <c r="O139" s="95">
        <v>939759.93825774628</v>
      </c>
      <c r="P139" s="97">
        <f t="shared" si="5"/>
        <v>939759.93825774628</v>
      </c>
    </row>
    <row r="140" spans="3:16" s="193" customFormat="1">
      <c r="C140" s="26"/>
      <c r="D140" s="115" t="s">
        <v>343</v>
      </c>
      <c r="E140" s="34">
        <v>46204</v>
      </c>
      <c r="F140" s="92" t="str">
        <f t="shared" si="8"/>
        <v>2026-27</v>
      </c>
      <c r="G140" s="199"/>
      <c r="H140" s="117" t="str">
        <f t="shared" si="6"/>
        <v>Mamre Rd</v>
      </c>
      <c r="I140" s="26">
        <f t="shared" si="4"/>
        <v>7189.7586453201966</v>
      </c>
      <c r="J140" s="100">
        <f t="shared" si="7"/>
        <v>1</v>
      </c>
      <c r="K140" s="37"/>
      <c r="L140" s="26"/>
      <c r="M140" s="26"/>
      <c r="N140" s="26"/>
      <c r="O140" s="95">
        <v>710727.71643610054</v>
      </c>
      <c r="P140" s="97">
        <f t="shared" si="5"/>
        <v>710727.71643610054</v>
      </c>
    </row>
    <row r="141" spans="3:16" s="193" customFormat="1">
      <c r="C141" s="26"/>
      <c r="D141" s="115" t="s">
        <v>344</v>
      </c>
      <c r="E141" s="34">
        <v>46204</v>
      </c>
      <c r="F141" s="92" t="str">
        <f t="shared" si="8"/>
        <v>2026-27</v>
      </c>
      <c r="G141" s="199"/>
      <c r="H141" s="117" t="str">
        <f t="shared" si="6"/>
        <v>Mamre Rd</v>
      </c>
      <c r="I141" s="26">
        <f t="shared" si="4"/>
        <v>7189.7586453201966</v>
      </c>
      <c r="J141" s="100">
        <f t="shared" si="7"/>
        <v>1</v>
      </c>
      <c r="K141" s="37"/>
      <c r="L141" s="26"/>
      <c r="M141" s="26"/>
      <c r="N141" s="26"/>
      <c r="O141" s="95">
        <v>1041180.3275602126</v>
      </c>
      <c r="P141" s="97">
        <f t="shared" si="5"/>
        <v>1041180.3275602126</v>
      </c>
    </row>
    <row r="142" spans="3:16" s="193" customFormat="1">
      <c r="C142" s="26"/>
      <c r="D142" s="115" t="s">
        <v>345</v>
      </c>
      <c r="E142" s="34">
        <v>46204</v>
      </c>
      <c r="F142" s="92" t="str">
        <f t="shared" si="8"/>
        <v>2026-27</v>
      </c>
      <c r="G142" s="199"/>
      <c r="H142" s="117" t="str">
        <f t="shared" si="6"/>
        <v>Mamre Rd</v>
      </c>
      <c r="I142" s="26">
        <f t="shared" si="4"/>
        <v>7189.7586453201966</v>
      </c>
      <c r="J142" s="100">
        <f t="shared" si="7"/>
        <v>1</v>
      </c>
      <c r="K142" s="37"/>
      <c r="L142" s="26"/>
      <c r="M142" s="26"/>
      <c r="N142" s="26"/>
      <c r="O142" s="95">
        <v>1354816.3949065222</v>
      </c>
      <c r="P142" s="97">
        <f t="shared" si="5"/>
        <v>1354816.3949065222</v>
      </c>
    </row>
    <row r="143" spans="3:16" s="193" customFormat="1">
      <c r="C143" s="26"/>
      <c r="D143" s="115" t="s">
        <v>346</v>
      </c>
      <c r="E143" s="34">
        <v>46204</v>
      </c>
      <c r="F143" s="92" t="str">
        <f t="shared" si="8"/>
        <v>2026-27</v>
      </c>
      <c r="G143" s="199"/>
      <c r="H143" s="117" t="str">
        <f t="shared" si="6"/>
        <v>Mamre Rd</v>
      </c>
      <c r="I143" s="26">
        <f t="shared" si="4"/>
        <v>7189.7586453201966</v>
      </c>
      <c r="J143" s="100">
        <f t="shared" si="7"/>
        <v>1</v>
      </c>
      <c r="K143" s="37"/>
      <c r="L143" s="26"/>
      <c r="M143" s="26"/>
      <c r="N143" s="26"/>
      <c r="O143" s="95">
        <v>1095410.8250651679</v>
      </c>
      <c r="P143" s="97">
        <f t="shared" si="5"/>
        <v>1095410.8250651679</v>
      </c>
    </row>
    <row r="144" spans="3:16" s="193" customFormat="1">
      <c r="C144" s="26"/>
      <c r="D144" s="115" t="s">
        <v>347</v>
      </c>
      <c r="E144" s="34">
        <v>46204</v>
      </c>
      <c r="F144" s="92" t="str">
        <f t="shared" si="8"/>
        <v>2026-27</v>
      </c>
      <c r="G144" s="199"/>
      <c r="H144" s="117" t="str">
        <f t="shared" si="6"/>
        <v>Mamre Rd</v>
      </c>
      <c r="I144" s="26">
        <f t="shared" si="4"/>
        <v>7189.7586453201966</v>
      </c>
      <c r="J144" s="100">
        <f t="shared" si="7"/>
        <v>1</v>
      </c>
      <c r="K144" s="37"/>
      <c r="L144" s="26"/>
      <c r="M144" s="26"/>
      <c r="N144" s="26"/>
      <c r="O144" s="95">
        <v>349261.42248454626</v>
      </c>
      <c r="P144" s="97">
        <f t="shared" si="5"/>
        <v>349261.42248454626</v>
      </c>
    </row>
    <row r="145" spans="3:16" s="193" customFormat="1">
      <c r="C145" s="26"/>
      <c r="D145" s="115" t="s">
        <v>348</v>
      </c>
      <c r="E145" s="34">
        <v>46204</v>
      </c>
      <c r="F145" s="92" t="str">
        <f t="shared" si="8"/>
        <v>2026-27</v>
      </c>
      <c r="G145" s="199"/>
      <c r="H145" s="117" t="str">
        <f t="shared" si="6"/>
        <v>Mamre Rd</v>
      </c>
      <c r="I145" s="26">
        <f t="shared" si="4"/>
        <v>7189.7586453201966</v>
      </c>
      <c r="J145" s="100">
        <f t="shared" si="7"/>
        <v>1</v>
      </c>
      <c r="K145" s="37"/>
      <c r="L145" s="26"/>
      <c r="M145" s="26"/>
      <c r="N145" s="26"/>
      <c r="O145" s="95">
        <v>482362.41051033419</v>
      </c>
      <c r="P145" s="97">
        <f t="shared" si="5"/>
        <v>482362.41051033419</v>
      </c>
    </row>
    <row r="146" spans="3:16" s="193" customFormat="1">
      <c r="C146" s="26"/>
      <c r="D146" s="115" t="s">
        <v>349</v>
      </c>
      <c r="E146" s="34">
        <v>46204</v>
      </c>
      <c r="F146" s="92" t="str">
        <f t="shared" si="8"/>
        <v>2026-27</v>
      </c>
      <c r="G146" s="199"/>
      <c r="H146" s="117" t="str">
        <f t="shared" si="6"/>
        <v>Mamre Rd</v>
      </c>
      <c r="I146" s="26">
        <f t="shared" si="4"/>
        <v>7189.7586453201966</v>
      </c>
      <c r="J146" s="100">
        <f t="shared" si="7"/>
        <v>1</v>
      </c>
      <c r="K146" s="37"/>
      <c r="L146" s="26"/>
      <c r="M146" s="26"/>
      <c r="N146" s="26"/>
      <c r="O146" s="95">
        <v>1279698.2971287547</v>
      </c>
      <c r="P146" s="97">
        <f t="shared" si="5"/>
        <v>1279698.2971287547</v>
      </c>
    </row>
    <row r="147" spans="3:16" s="193" customFormat="1">
      <c r="C147" s="26"/>
      <c r="D147" s="115" t="s">
        <v>350</v>
      </c>
      <c r="E147" s="34">
        <v>46204</v>
      </c>
      <c r="F147" s="92" t="str">
        <f t="shared" si="8"/>
        <v>2026-27</v>
      </c>
      <c r="G147" s="199"/>
      <c r="H147" s="117" t="str">
        <f t="shared" si="6"/>
        <v>Mamre Rd</v>
      </c>
      <c r="I147" s="26">
        <f t="shared" si="4"/>
        <v>7189.7586453201966</v>
      </c>
      <c r="J147" s="100">
        <f t="shared" si="7"/>
        <v>1</v>
      </c>
      <c r="K147" s="37"/>
      <c r="L147" s="26"/>
      <c r="M147" s="26"/>
      <c r="N147" s="26"/>
      <c r="O147" s="95">
        <v>456384.9809267018</v>
      </c>
      <c r="P147" s="97">
        <f t="shared" si="5"/>
        <v>456384.9809267018</v>
      </c>
    </row>
    <row r="148" spans="3:16" s="193" customFormat="1">
      <c r="C148" s="26"/>
      <c r="D148" s="115" t="s">
        <v>351</v>
      </c>
      <c r="E148" s="34">
        <v>46204</v>
      </c>
      <c r="F148" s="92" t="str">
        <f t="shared" si="8"/>
        <v>2026-27</v>
      </c>
      <c r="G148" s="199"/>
      <c r="H148" s="117" t="str">
        <f t="shared" si="6"/>
        <v>Mamre Rd</v>
      </c>
      <c r="I148" s="26">
        <f t="shared" si="4"/>
        <v>7189.7586453201966</v>
      </c>
      <c r="J148" s="100">
        <f t="shared" si="7"/>
        <v>1</v>
      </c>
      <c r="K148" s="37"/>
      <c r="L148" s="26"/>
      <c r="M148" s="26"/>
      <c r="N148" s="26"/>
      <c r="O148" s="95">
        <v>903967.93898602494</v>
      </c>
      <c r="P148" s="97">
        <f t="shared" si="5"/>
        <v>903967.93898602494</v>
      </c>
    </row>
    <row r="149" spans="3:16" s="193" customFormat="1">
      <c r="C149" s="26"/>
      <c r="D149" s="115" t="s">
        <v>352</v>
      </c>
      <c r="E149" s="34">
        <v>46204</v>
      </c>
      <c r="F149" s="92" t="str">
        <f t="shared" si="8"/>
        <v>2026-27</v>
      </c>
      <c r="G149" s="199"/>
      <c r="H149" s="117" t="str">
        <f t="shared" si="6"/>
        <v>Mamre Rd</v>
      </c>
      <c r="I149" s="26">
        <f t="shared" si="4"/>
        <v>7189.7586453201966</v>
      </c>
      <c r="J149" s="100">
        <f t="shared" si="7"/>
        <v>1</v>
      </c>
      <c r="K149" s="37"/>
      <c r="L149" s="26"/>
      <c r="M149" s="26"/>
      <c r="N149" s="26"/>
      <c r="O149" s="95">
        <v>1098493.8508945541</v>
      </c>
      <c r="P149" s="97">
        <f t="shared" si="5"/>
        <v>1098493.8508945541</v>
      </c>
    </row>
    <row r="150" spans="3:16" s="193" customFormat="1">
      <c r="C150" s="26"/>
      <c r="D150" s="115" t="s">
        <v>353</v>
      </c>
      <c r="E150" s="34">
        <v>46204</v>
      </c>
      <c r="F150" s="92" t="str">
        <f t="shared" si="8"/>
        <v>2026-27</v>
      </c>
      <c r="G150" s="199"/>
      <c r="H150" s="117" t="str">
        <f t="shared" si="6"/>
        <v>Mamre Rd</v>
      </c>
      <c r="I150" s="26">
        <f t="shared" si="4"/>
        <v>7189.7586453201966</v>
      </c>
      <c r="J150" s="100">
        <f t="shared" si="7"/>
        <v>1</v>
      </c>
      <c r="K150" s="37"/>
      <c r="L150" s="26"/>
      <c r="M150" s="26"/>
      <c r="N150" s="26"/>
      <c r="O150" s="95">
        <v>1279698.2971287547</v>
      </c>
      <c r="P150" s="97">
        <f t="shared" si="5"/>
        <v>1279698.2971287547</v>
      </c>
    </row>
    <row r="151" spans="3:16" s="193" customFormat="1">
      <c r="C151" s="26"/>
      <c r="D151" s="115" t="s">
        <v>354</v>
      </c>
      <c r="E151" s="34">
        <v>46204</v>
      </c>
      <c r="F151" s="92" t="str">
        <f t="shared" si="8"/>
        <v>2026-27</v>
      </c>
      <c r="G151" s="199"/>
      <c r="H151" s="117" t="str">
        <f t="shared" si="6"/>
        <v>Mamre Rd</v>
      </c>
      <c r="I151" s="26">
        <f t="shared" si="4"/>
        <v>7189.7586453201966</v>
      </c>
      <c r="J151" s="100">
        <f t="shared" si="7"/>
        <v>1</v>
      </c>
      <c r="K151" s="37"/>
      <c r="L151" s="26"/>
      <c r="M151" s="26"/>
      <c r="N151" s="26"/>
      <c r="O151" s="95">
        <v>420659.98255190981</v>
      </c>
      <c r="P151" s="97">
        <f t="shared" si="5"/>
        <v>420659.98255190981</v>
      </c>
    </row>
    <row r="152" spans="3:16" s="193" customFormat="1">
      <c r="C152" s="26"/>
      <c r="D152" s="115" t="s">
        <v>355</v>
      </c>
      <c r="E152" s="34">
        <v>46204</v>
      </c>
      <c r="F152" s="92" t="str">
        <f t="shared" si="8"/>
        <v>2026-27</v>
      </c>
      <c r="G152" s="199"/>
      <c r="H152" s="117" t="str">
        <f t="shared" si="6"/>
        <v>Mamre Rd</v>
      </c>
      <c r="I152" s="26">
        <f t="shared" si="6"/>
        <v>7189.7586453201966</v>
      </c>
      <c r="J152" s="100">
        <f t="shared" si="7"/>
        <v>1</v>
      </c>
      <c r="K152" s="37"/>
      <c r="L152" s="26"/>
      <c r="M152" s="26"/>
      <c r="N152" s="26"/>
      <c r="O152" s="95">
        <v>2943861.0280454247</v>
      </c>
      <c r="P152" s="97">
        <f t="shared" si="5"/>
        <v>2943861.0280454247</v>
      </c>
    </row>
    <row r="153" spans="3:16" s="193" customFormat="1">
      <c r="C153" s="26"/>
      <c r="D153" s="115" t="s">
        <v>356</v>
      </c>
      <c r="E153" s="34">
        <v>46204</v>
      </c>
      <c r="F153" s="92" t="str">
        <f t="shared" si="8"/>
        <v>2026-27</v>
      </c>
      <c r="G153" s="199"/>
      <c r="H153" s="117" t="str">
        <f t="shared" si="6"/>
        <v>Mamre Rd</v>
      </c>
      <c r="I153" s="26">
        <f t="shared" si="6"/>
        <v>7189.7586453201966</v>
      </c>
      <c r="J153" s="100">
        <f t="shared" si="7"/>
        <v>1</v>
      </c>
      <c r="K153" s="37"/>
      <c r="L153" s="26"/>
      <c r="M153" s="26"/>
      <c r="N153" s="26"/>
      <c r="O153" s="95">
        <v>289535.10319333232</v>
      </c>
      <c r="P153" s="97">
        <f t="shared" si="5"/>
        <v>289535.10319333232</v>
      </c>
    </row>
    <row r="154" spans="3:16" s="193" customFormat="1">
      <c r="C154" s="26"/>
      <c r="D154" s="115" t="s">
        <v>357</v>
      </c>
      <c r="E154" s="34">
        <v>46204</v>
      </c>
      <c r="F154" s="92" t="str">
        <f t="shared" si="8"/>
        <v>2026-27</v>
      </c>
      <c r="G154" s="199"/>
      <c r="H154" s="117" t="str">
        <f t="shared" si="6"/>
        <v>Mamre Rd</v>
      </c>
      <c r="I154" s="26">
        <f t="shared" si="6"/>
        <v>7189.7586453201966</v>
      </c>
      <c r="J154" s="100">
        <f t="shared" si="7"/>
        <v>1</v>
      </c>
      <c r="K154" s="37"/>
      <c r="L154" s="26"/>
      <c r="M154" s="26"/>
      <c r="N154" s="26"/>
      <c r="O154" s="95">
        <v>108093.10519217742</v>
      </c>
      <c r="P154" s="97">
        <f t="shared" si="5"/>
        <v>108093.10519217742</v>
      </c>
    </row>
    <row r="155" spans="3:16" s="193" customFormat="1">
      <c r="C155" s="26"/>
      <c r="D155" s="115" t="s">
        <v>358</v>
      </c>
      <c r="E155" s="34">
        <v>46204</v>
      </c>
      <c r="F155" s="92" t="str">
        <f t="shared" si="8"/>
        <v>2026-27</v>
      </c>
      <c r="G155" s="199"/>
      <c r="H155" s="117" t="str">
        <f t="shared" si="6"/>
        <v>Mamre Rd</v>
      </c>
      <c r="I155" s="26">
        <f t="shared" si="6"/>
        <v>7189.7586453201966</v>
      </c>
      <c r="J155" s="100">
        <f t="shared" si="7"/>
        <v>1</v>
      </c>
      <c r="K155" s="37"/>
      <c r="L155" s="26"/>
      <c r="M155" s="26"/>
      <c r="N155" s="26"/>
      <c r="O155" s="95">
        <v>245139.7207036881</v>
      </c>
      <c r="P155" s="97">
        <f t="shared" si="5"/>
        <v>245139.7207036881</v>
      </c>
    </row>
    <row r="156" spans="3:16" s="193" customFormat="1" ht="24">
      <c r="C156" s="26"/>
      <c r="D156" s="115" t="s">
        <v>359</v>
      </c>
      <c r="E156" s="34">
        <v>46204</v>
      </c>
      <c r="F156" s="92" t="str">
        <f t="shared" si="8"/>
        <v>2026-27</v>
      </c>
      <c r="G156" s="199"/>
      <c r="H156" s="117" t="str">
        <f t="shared" si="6"/>
        <v>Mamre Rd</v>
      </c>
      <c r="I156" s="26">
        <f t="shared" si="6"/>
        <v>7189.7586453201966</v>
      </c>
      <c r="J156" s="100">
        <f t="shared" si="7"/>
        <v>1</v>
      </c>
      <c r="K156" s="37"/>
      <c r="L156" s="26"/>
      <c r="M156" s="26"/>
      <c r="N156" s="26"/>
      <c r="O156" s="95">
        <v>5147019.203851359</v>
      </c>
      <c r="P156" s="97">
        <f t="shared" si="5"/>
        <v>5147019.203851359</v>
      </c>
    </row>
    <row r="157" spans="3:16" s="193" customFormat="1">
      <c r="C157" s="26"/>
      <c r="D157" s="115" t="s">
        <v>360</v>
      </c>
      <c r="E157" s="34">
        <v>46204</v>
      </c>
      <c r="F157" s="92" t="str">
        <f t="shared" si="8"/>
        <v>2026-27</v>
      </c>
      <c r="G157" s="199"/>
      <c r="H157" s="117" t="str">
        <f t="shared" si="6"/>
        <v>Mamre Rd</v>
      </c>
      <c r="I157" s="26">
        <f t="shared" si="6"/>
        <v>7189.7586453201966</v>
      </c>
      <c r="J157" s="100">
        <f t="shared" si="7"/>
        <v>1</v>
      </c>
      <c r="K157" s="37"/>
      <c r="L157" s="26"/>
      <c r="M157" s="26"/>
      <c r="N157" s="26"/>
      <c r="O157" s="95">
        <v>1698734.8783668389</v>
      </c>
      <c r="P157" s="97">
        <f t="shared" si="5"/>
        <v>1698734.8783668389</v>
      </c>
    </row>
    <row r="158" spans="3:16" s="193" customFormat="1">
      <c r="C158" s="26"/>
      <c r="D158" s="115" t="s">
        <v>361</v>
      </c>
      <c r="E158" s="34">
        <v>46204</v>
      </c>
      <c r="F158" s="92" t="str">
        <f t="shared" si="8"/>
        <v>2026-27</v>
      </c>
      <c r="G158" s="199"/>
      <c r="H158" s="117" t="str">
        <f t="shared" si="6"/>
        <v>Mamre Rd</v>
      </c>
      <c r="I158" s="26">
        <f t="shared" si="6"/>
        <v>7189.7586453201966</v>
      </c>
      <c r="J158" s="100">
        <f t="shared" si="7"/>
        <v>1</v>
      </c>
      <c r="K158" s="37"/>
      <c r="L158" s="26"/>
      <c r="M158" s="26"/>
      <c r="N158" s="26"/>
      <c r="O158" s="95">
        <v>146171.98987055599</v>
      </c>
      <c r="P158" s="97">
        <f t="shared" si="5"/>
        <v>146171.98987055599</v>
      </c>
    </row>
    <row r="159" spans="3:16" s="193" customFormat="1">
      <c r="C159" s="26"/>
      <c r="D159" s="115" t="s">
        <v>362</v>
      </c>
      <c r="E159" s="34">
        <v>46204</v>
      </c>
      <c r="F159" s="92" t="str">
        <f t="shared" si="8"/>
        <v>2026-27</v>
      </c>
      <c r="G159" s="199"/>
      <c r="H159" s="117" t="str">
        <f t="shared" si="6"/>
        <v>Mamre Rd</v>
      </c>
      <c r="I159" s="26">
        <f t="shared" si="6"/>
        <v>7189.7586453201966</v>
      </c>
      <c r="J159" s="100">
        <f t="shared" si="7"/>
        <v>1</v>
      </c>
      <c r="K159" s="37"/>
      <c r="L159" s="26"/>
      <c r="M159" s="26"/>
      <c r="N159" s="26"/>
      <c r="O159" s="95">
        <v>65173.965682014859</v>
      </c>
      <c r="P159" s="97">
        <f t="shared" si="5"/>
        <v>65173.965682014859</v>
      </c>
    </row>
    <row r="160" spans="3:16" s="193" customFormat="1">
      <c r="C160" s="26"/>
      <c r="D160" s="115"/>
      <c r="E160" s="34">
        <v>46204</v>
      </c>
      <c r="F160" s="92" t="str">
        <f t="shared" si="8"/>
        <v>2026-27</v>
      </c>
      <c r="G160" s="199"/>
      <c r="H160" s="117" t="str">
        <f t="shared" si="6"/>
        <v>Mamre Rd</v>
      </c>
      <c r="I160" s="26">
        <f t="shared" si="6"/>
        <v>7189.7586453201966</v>
      </c>
      <c r="J160" s="100">
        <f t="shared" si="7"/>
        <v>1</v>
      </c>
      <c r="K160" s="37"/>
      <c r="L160" s="26"/>
      <c r="M160" s="26"/>
      <c r="N160" s="26"/>
      <c r="O160" s="95">
        <v>0</v>
      </c>
      <c r="P160" s="97">
        <f t="shared" si="5"/>
        <v>0</v>
      </c>
    </row>
    <row r="161" spans="3:16" s="193" customFormat="1">
      <c r="C161" s="26"/>
      <c r="D161" s="115" t="s">
        <v>363</v>
      </c>
      <c r="E161" s="34">
        <v>46204</v>
      </c>
      <c r="F161" s="92" t="str">
        <f t="shared" si="8"/>
        <v>2026-27</v>
      </c>
      <c r="G161" s="199"/>
      <c r="H161" s="117" t="str">
        <f t="shared" si="6"/>
        <v>Mamre Rd</v>
      </c>
      <c r="I161" s="26">
        <f t="shared" si="6"/>
        <v>7189.7586453201966</v>
      </c>
      <c r="J161" s="100">
        <f t="shared" si="7"/>
        <v>1</v>
      </c>
      <c r="K161" s="37"/>
      <c r="L161" s="26"/>
      <c r="M161" s="26"/>
      <c r="N161" s="26"/>
      <c r="O161" s="95">
        <v>51631100.700418979</v>
      </c>
      <c r="P161" s="97">
        <f t="shared" si="5"/>
        <v>51631100.700418979</v>
      </c>
    </row>
    <row r="162" spans="3:16" s="193" customFormat="1">
      <c r="C162" s="26"/>
      <c r="D162" s="115" t="s">
        <v>242</v>
      </c>
      <c r="E162" s="34">
        <v>46204</v>
      </c>
      <c r="F162" s="92" t="str">
        <f t="shared" si="8"/>
        <v>2026-27</v>
      </c>
      <c r="G162" s="199"/>
      <c r="H162" s="117" t="str">
        <f t="shared" ref="H162:I225" si="9">H161</f>
        <v>Mamre Rd</v>
      </c>
      <c r="I162" s="26">
        <f t="shared" si="9"/>
        <v>7189.7586453201966</v>
      </c>
      <c r="J162" s="100">
        <f t="shared" ref="J162:J224" si="10">J161</f>
        <v>1</v>
      </c>
      <c r="K162" s="37"/>
      <c r="L162" s="26"/>
      <c r="M162" s="26"/>
      <c r="N162" s="26"/>
      <c r="O162" s="95">
        <v>78901.102556421421</v>
      </c>
      <c r="P162" s="97">
        <f t="shared" si="5"/>
        <v>78901.102556421421</v>
      </c>
    </row>
    <row r="163" spans="3:16" s="193" customFormat="1">
      <c r="C163" s="26"/>
      <c r="D163" s="115" t="s">
        <v>364</v>
      </c>
      <c r="E163" s="34">
        <v>46569</v>
      </c>
      <c r="F163" s="92" t="str">
        <f t="shared" si="8"/>
        <v>2027-28</v>
      </c>
      <c r="G163" s="199"/>
      <c r="H163" s="117" t="str">
        <f t="shared" si="9"/>
        <v>Mamre Rd</v>
      </c>
      <c r="I163" s="26">
        <f t="shared" si="9"/>
        <v>7189.7586453201966</v>
      </c>
      <c r="J163" s="100">
        <f t="shared" si="10"/>
        <v>1</v>
      </c>
      <c r="K163" s="37"/>
      <c r="L163" s="26"/>
      <c r="M163" s="26"/>
      <c r="N163" s="26"/>
      <c r="O163" s="95">
        <v>146441.54539705164</v>
      </c>
      <c r="P163" s="97">
        <f t="shared" si="5"/>
        <v>146441.54539705164</v>
      </c>
    </row>
    <row r="164" spans="3:16" s="193" customFormat="1">
      <c r="C164" s="26"/>
      <c r="D164" s="115" t="s">
        <v>365</v>
      </c>
      <c r="E164" s="34">
        <v>46569</v>
      </c>
      <c r="F164" s="92" t="str">
        <f t="shared" ref="F164:F226" si="11">IF(E164="","-",IF(E164&lt;$E$15,"ERROR - date outside of range",IF(MONTH(E164)&gt;=7,YEAR(E164)&amp;"-"&amp;RIGHT(YEAR(E164),2)+1,YEAR(E164)-1&amp;"-"&amp;RIGHT(YEAR(E164),2))))</f>
        <v>2027-28</v>
      </c>
      <c r="G164" s="199"/>
      <c r="H164" s="117" t="str">
        <f t="shared" si="9"/>
        <v>Mamre Rd</v>
      </c>
      <c r="I164" s="26">
        <f t="shared" si="9"/>
        <v>7189.7586453201966</v>
      </c>
      <c r="J164" s="100">
        <f t="shared" si="10"/>
        <v>1</v>
      </c>
      <c r="K164" s="37"/>
      <c r="L164" s="26"/>
      <c r="M164" s="26"/>
      <c r="N164" s="26"/>
      <c r="O164" s="95">
        <v>626467.44276910019</v>
      </c>
      <c r="P164" s="97">
        <f t="shared" si="5"/>
        <v>626467.44276910019</v>
      </c>
    </row>
    <row r="165" spans="3:16" s="193" customFormat="1">
      <c r="C165" s="26"/>
      <c r="D165" s="115" t="s">
        <v>366</v>
      </c>
      <c r="E165" s="34">
        <v>46569</v>
      </c>
      <c r="F165" s="92" t="str">
        <f t="shared" si="11"/>
        <v>2027-28</v>
      </c>
      <c r="G165" s="199"/>
      <c r="H165" s="117" t="str">
        <f t="shared" si="9"/>
        <v>Mamre Rd</v>
      </c>
      <c r="I165" s="26">
        <f t="shared" si="9"/>
        <v>7189.7586453201966</v>
      </c>
      <c r="J165" s="100">
        <f t="shared" si="10"/>
        <v>1</v>
      </c>
      <c r="K165" s="37"/>
      <c r="L165" s="26"/>
      <c r="M165" s="26"/>
      <c r="N165" s="26"/>
      <c r="O165" s="95">
        <v>657399.39036336495</v>
      </c>
      <c r="P165" s="97">
        <f t="shared" si="5"/>
        <v>657399.39036336495</v>
      </c>
    </row>
    <row r="166" spans="3:16" s="193" customFormat="1">
      <c r="C166" s="26"/>
      <c r="D166" s="115" t="s">
        <v>367</v>
      </c>
      <c r="E166" s="34">
        <v>46569</v>
      </c>
      <c r="F166" s="92" t="str">
        <f t="shared" si="11"/>
        <v>2027-28</v>
      </c>
      <c r="G166" s="199"/>
      <c r="H166" s="117" t="str">
        <f t="shared" si="9"/>
        <v>Mamre Rd</v>
      </c>
      <c r="I166" s="26">
        <f t="shared" si="9"/>
        <v>7189.7586453201966</v>
      </c>
      <c r="J166" s="100">
        <f t="shared" si="10"/>
        <v>1</v>
      </c>
      <c r="K166" s="37"/>
      <c r="L166" s="26"/>
      <c r="M166" s="26"/>
      <c r="N166" s="26"/>
      <c r="O166" s="95">
        <v>1189129.8210621641</v>
      </c>
      <c r="P166" s="97">
        <f t="shared" si="5"/>
        <v>1189129.8210621641</v>
      </c>
    </row>
    <row r="167" spans="3:16" s="193" customFormat="1">
      <c r="C167" s="26"/>
      <c r="D167" s="115" t="s">
        <v>368</v>
      </c>
      <c r="E167" s="34">
        <v>46569</v>
      </c>
      <c r="F167" s="92" t="str">
        <f t="shared" si="11"/>
        <v>2027-28</v>
      </c>
      <c r="G167" s="199"/>
      <c r="H167" s="117" t="str">
        <f t="shared" si="9"/>
        <v>Mamre Rd</v>
      </c>
      <c r="I167" s="26">
        <f t="shared" si="9"/>
        <v>7189.7586453201966</v>
      </c>
      <c r="J167" s="100">
        <f t="shared" si="10"/>
        <v>1</v>
      </c>
      <c r="K167" s="37"/>
      <c r="L167" s="26"/>
      <c r="M167" s="26"/>
      <c r="N167" s="26"/>
      <c r="O167" s="95">
        <v>1059044.2278759954</v>
      </c>
      <c r="P167" s="97">
        <f t="shared" si="5"/>
        <v>1059044.2278759954</v>
      </c>
    </row>
    <row r="168" spans="3:16" s="193" customFormat="1">
      <c r="C168" s="26"/>
      <c r="D168" s="115" t="s">
        <v>369</v>
      </c>
      <c r="E168" s="34">
        <v>46569</v>
      </c>
      <c r="F168" s="92" t="str">
        <f t="shared" si="11"/>
        <v>2027-28</v>
      </c>
      <c r="G168" s="199"/>
      <c r="H168" s="117" t="str">
        <f t="shared" si="9"/>
        <v>Mamre Rd</v>
      </c>
      <c r="I168" s="26">
        <f t="shared" si="9"/>
        <v>7189.7586453201966</v>
      </c>
      <c r="J168" s="100">
        <f t="shared" si="10"/>
        <v>1</v>
      </c>
      <c r="K168" s="37"/>
      <c r="L168" s="26"/>
      <c r="M168" s="26"/>
      <c r="N168" s="26"/>
      <c r="O168" s="95">
        <v>100893.37705177827</v>
      </c>
      <c r="P168" s="97">
        <f t="shared" si="5"/>
        <v>100893.37705177827</v>
      </c>
    </row>
    <row r="169" spans="3:16" s="193" customFormat="1">
      <c r="C169" s="26"/>
      <c r="D169" s="115" t="s">
        <v>370</v>
      </c>
      <c r="E169" s="34">
        <v>46569</v>
      </c>
      <c r="F169" s="92" t="str">
        <f t="shared" si="11"/>
        <v>2027-28</v>
      </c>
      <c r="G169" s="199"/>
      <c r="H169" s="117" t="str">
        <f t="shared" si="9"/>
        <v>Mamre Rd</v>
      </c>
      <c r="I169" s="26">
        <f t="shared" si="9"/>
        <v>7189.7586453201966</v>
      </c>
      <c r="J169" s="100">
        <f t="shared" si="10"/>
        <v>1</v>
      </c>
      <c r="K169" s="37"/>
      <c r="L169" s="26"/>
      <c r="M169" s="26"/>
      <c r="N169" s="26"/>
      <c r="O169" s="95">
        <v>5088.1207362669384</v>
      </c>
      <c r="P169" s="97">
        <f t="shared" si="5"/>
        <v>5088.1207362669384</v>
      </c>
    </row>
    <row r="170" spans="3:16" s="193" customFormat="1">
      <c r="C170" s="26"/>
      <c r="D170" s="115" t="s">
        <v>371</v>
      </c>
      <c r="E170" s="34">
        <v>46569</v>
      </c>
      <c r="F170" s="92" t="str">
        <f t="shared" si="11"/>
        <v>2027-28</v>
      </c>
      <c r="G170" s="199"/>
      <c r="H170" s="117" t="str">
        <f t="shared" si="9"/>
        <v>Mamre Rd</v>
      </c>
      <c r="I170" s="26">
        <f t="shared" si="9"/>
        <v>7189.7586453201966</v>
      </c>
      <c r="J170" s="100">
        <f t="shared" si="10"/>
        <v>1</v>
      </c>
      <c r="K170" s="37"/>
      <c r="L170" s="26"/>
      <c r="M170" s="26"/>
      <c r="N170" s="26"/>
      <c r="O170" s="95">
        <v>59383.070132439105</v>
      </c>
      <c r="P170" s="97">
        <f t="shared" si="5"/>
        <v>59383.070132439105</v>
      </c>
    </row>
    <row r="171" spans="3:16" s="193" customFormat="1">
      <c r="C171" s="26"/>
      <c r="D171" s="115" t="s">
        <v>372</v>
      </c>
      <c r="E171" s="34">
        <v>46569</v>
      </c>
      <c r="F171" s="92" t="str">
        <f t="shared" si="11"/>
        <v>2027-28</v>
      </c>
      <c r="G171" s="199"/>
      <c r="H171" s="117" t="str">
        <f t="shared" si="9"/>
        <v>Mamre Rd</v>
      </c>
      <c r="I171" s="26">
        <f t="shared" si="9"/>
        <v>7189.7586453201966</v>
      </c>
      <c r="J171" s="100">
        <f t="shared" si="10"/>
        <v>1</v>
      </c>
      <c r="K171" s="37"/>
      <c r="L171" s="26"/>
      <c r="M171" s="26"/>
      <c r="N171" s="26"/>
      <c r="O171" s="95">
        <v>80067.208859015896</v>
      </c>
      <c r="P171" s="97">
        <f t="shared" si="5"/>
        <v>80067.208859015896</v>
      </c>
    </row>
    <row r="172" spans="3:16" s="193" customFormat="1">
      <c r="C172" s="26"/>
      <c r="D172" s="115" t="s">
        <v>373</v>
      </c>
      <c r="E172" s="34">
        <v>46569</v>
      </c>
      <c r="F172" s="92" t="str">
        <f t="shared" si="11"/>
        <v>2027-28</v>
      </c>
      <c r="G172" s="199"/>
      <c r="H172" s="117" t="str">
        <f t="shared" si="9"/>
        <v>Mamre Rd</v>
      </c>
      <c r="I172" s="26">
        <f t="shared" si="9"/>
        <v>7189.7586453201966</v>
      </c>
      <c r="J172" s="100">
        <f t="shared" si="10"/>
        <v>1</v>
      </c>
      <c r="K172" s="37"/>
      <c r="L172" s="26"/>
      <c r="M172" s="26"/>
      <c r="N172" s="26"/>
      <c r="O172" s="95">
        <v>84768.056339381277</v>
      </c>
      <c r="P172" s="97">
        <f t="shared" si="5"/>
        <v>84768.056339381277</v>
      </c>
    </row>
    <row r="173" spans="3:16" s="193" customFormat="1">
      <c r="C173" s="26"/>
      <c r="D173" s="115" t="s">
        <v>374</v>
      </c>
      <c r="E173" s="34">
        <v>46569</v>
      </c>
      <c r="F173" s="92" t="str">
        <f t="shared" si="11"/>
        <v>2027-28</v>
      </c>
      <c r="G173" s="199"/>
      <c r="H173" s="117" t="str">
        <f t="shared" si="9"/>
        <v>Mamre Rd</v>
      </c>
      <c r="I173" s="26">
        <f t="shared" si="9"/>
        <v>7189.7586453201966</v>
      </c>
      <c r="J173" s="100">
        <f t="shared" si="10"/>
        <v>1</v>
      </c>
      <c r="K173" s="37"/>
      <c r="L173" s="26"/>
      <c r="M173" s="26"/>
      <c r="N173" s="26"/>
      <c r="O173" s="95">
        <v>87523.170386656857</v>
      </c>
      <c r="P173" s="97">
        <f t="shared" si="5"/>
        <v>87523.170386656857</v>
      </c>
    </row>
    <row r="174" spans="3:16" s="193" customFormat="1">
      <c r="C174" s="26"/>
      <c r="D174" s="115" t="s">
        <v>375</v>
      </c>
      <c r="E174" s="34">
        <v>46569</v>
      </c>
      <c r="F174" s="92" t="str">
        <f t="shared" si="11"/>
        <v>2027-28</v>
      </c>
      <c r="G174" s="199"/>
      <c r="H174" s="117" t="str">
        <f t="shared" si="9"/>
        <v>Mamre Rd</v>
      </c>
      <c r="I174" s="26">
        <f t="shared" si="9"/>
        <v>7189.7586453201966</v>
      </c>
      <c r="J174" s="100">
        <f t="shared" si="10"/>
        <v>1</v>
      </c>
      <c r="K174" s="37"/>
      <c r="L174" s="26"/>
      <c r="M174" s="26"/>
      <c r="N174" s="26"/>
      <c r="O174" s="95">
        <v>78225.099562425894</v>
      </c>
      <c r="P174" s="97">
        <f t="shared" si="5"/>
        <v>78225.099562425894</v>
      </c>
    </row>
    <row r="175" spans="3:16" s="193" customFormat="1">
      <c r="C175" s="26"/>
      <c r="D175" s="115" t="s">
        <v>376</v>
      </c>
      <c r="E175" s="34">
        <v>46569</v>
      </c>
      <c r="F175" s="92" t="str">
        <f t="shared" si="11"/>
        <v>2027-28</v>
      </c>
      <c r="G175" s="199"/>
      <c r="H175" s="117" t="str">
        <f t="shared" si="9"/>
        <v>Mamre Rd</v>
      </c>
      <c r="I175" s="26">
        <f t="shared" si="9"/>
        <v>7189.7586453201966</v>
      </c>
      <c r="J175" s="100">
        <f t="shared" si="10"/>
        <v>1</v>
      </c>
      <c r="K175" s="37"/>
      <c r="L175" s="26"/>
      <c r="M175" s="26"/>
      <c r="N175" s="26"/>
      <c r="O175" s="95">
        <v>97603.074145616207</v>
      </c>
      <c r="P175" s="97">
        <f t="shared" si="5"/>
        <v>97603.074145616207</v>
      </c>
    </row>
    <row r="176" spans="3:16" s="193" customFormat="1">
      <c r="C176" s="26"/>
      <c r="D176" s="115" t="s">
        <v>377</v>
      </c>
      <c r="E176" s="34">
        <v>46569</v>
      </c>
      <c r="F176" s="92" t="str">
        <f t="shared" si="11"/>
        <v>2027-28</v>
      </c>
      <c r="G176" s="199"/>
      <c r="H176" s="117" t="str">
        <f t="shared" si="9"/>
        <v>Mamre Rd</v>
      </c>
      <c r="I176" s="26">
        <f t="shared" si="9"/>
        <v>7189.7586453201966</v>
      </c>
      <c r="J176" s="100">
        <f t="shared" si="10"/>
        <v>1</v>
      </c>
      <c r="K176" s="37"/>
      <c r="L176" s="26"/>
      <c r="M176" s="26"/>
      <c r="N176" s="26"/>
      <c r="O176" s="95">
        <v>4209814.3604096286</v>
      </c>
      <c r="P176" s="97">
        <f t="shared" si="5"/>
        <v>4209814.3604096286</v>
      </c>
    </row>
    <row r="177" spans="3:16" s="193" customFormat="1">
      <c r="C177" s="26"/>
      <c r="D177" s="115" t="s">
        <v>378</v>
      </c>
      <c r="E177" s="34">
        <v>46569</v>
      </c>
      <c r="F177" s="92" t="str">
        <f t="shared" si="11"/>
        <v>2027-28</v>
      </c>
      <c r="G177" s="199"/>
      <c r="H177" s="117" t="str">
        <f t="shared" si="9"/>
        <v>Mamre Rd</v>
      </c>
      <c r="I177" s="26">
        <f t="shared" si="9"/>
        <v>7189.7586453201966</v>
      </c>
      <c r="J177" s="100">
        <f t="shared" si="10"/>
        <v>1</v>
      </c>
      <c r="K177" s="37"/>
      <c r="L177" s="26"/>
      <c r="M177" s="26"/>
      <c r="N177" s="26"/>
      <c r="O177" s="95">
        <v>2368077.4174737553</v>
      </c>
      <c r="P177" s="97">
        <f t="shared" si="5"/>
        <v>2368077.4174737553</v>
      </c>
    </row>
    <row r="178" spans="3:16" s="193" customFormat="1">
      <c r="C178" s="26"/>
      <c r="D178" s="115" t="s">
        <v>379</v>
      </c>
      <c r="E178" s="34">
        <v>46569</v>
      </c>
      <c r="F178" s="92" t="str">
        <f t="shared" si="11"/>
        <v>2027-28</v>
      </c>
      <c r="G178" s="199"/>
      <c r="H178" s="117" t="str">
        <f t="shared" si="9"/>
        <v>Mamre Rd</v>
      </c>
      <c r="I178" s="26">
        <f t="shared" si="9"/>
        <v>7189.7586453201966</v>
      </c>
      <c r="J178" s="100">
        <f t="shared" si="10"/>
        <v>1</v>
      </c>
      <c r="K178" s="37"/>
      <c r="L178" s="26"/>
      <c r="M178" s="26"/>
      <c r="N178" s="26"/>
      <c r="O178" s="95">
        <v>247011.15925666646</v>
      </c>
      <c r="P178" s="97">
        <f t="shared" si="5"/>
        <v>247011.15925666646</v>
      </c>
    </row>
    <row r="179" spans="3:16" s="193" customFormat="1">
      <c r="C179" s="26"/>
      <c r="D179" s="115" t="s">
        <v>380</v>
      </c>
      <c r="E179" s="34">
        <v>46569</v>
      </c>
      <c r="F179" s="92" t="str">
        <f t="shared" si="11"/>
        <v>2027-28</v>
      </c>
      <c r="G179" s="199"/>
      <c r="H179" s="117" t="str">
        <f t="shared" si="9"/>
        <v>Mamre Rd</v>
      </c>
      <c r="I179" s="26">
        <f t="shared" si="9"/>
        <v>7189.7586453201966</v>
      </c>
      <c r="J179" s="100">
        <f t="shared" si="10"/>
        <v>1</v>
      </c>
      <c r="K179" s="37"/>
      <c r="L179" s="26"/>
      <c r="M179" s="26"/>
      <c r="N179" s="26"/>
      <c r="O179" s="95">
        <v>1862494.1870957972</v>
      </c>
      <c r="P179" s="97">
        <f t="shared" si="5"/>
        <v>1862494.1870957972</v>
      </c>
    </row>
    <row r="180" spans="3:16" s="193" customFormat="1">
      <c r="C180" s="26"/>
      <c r="D180" s="115" t="s">
        <v>381</v>
      </c>
      <c r="E180" s="34">
        <v>46569</v>
      </c>
      <c r="F180" s="92" t="str">
        <f t="shared" si="11"/>
        <v>2027-28</v>
      </c>
      <c r="G180" s="199"/>
      <c r="H180" s="117" t="str">
        <f t="shared" si="9"/>
        <v>Mamre Rd</v>
      </c>
      <c r="I180" s="26">
        <f t="shared" si="9"/>
        <v>7189.7586453201966</v>
      </c>
      <c r="J180" s="100">
        <f t="shared" si="10"/>
        <v>1</v>
      </c>
      <c r="K180" s="37"/>
      <c r="L180" s="26"/>
      <c r="M180" s="26"/>
      <c r="N180" s="26"/>
      <c r="O180" s="95">
        <v>3338166.626708929</v>
      </c>
      <c r="P180" s="97">
        <f t="shared" si="5"/>
        <v>3338166.626708929</v>
      </c>
    </row>
    <row r="181" spans="3:16" s="193" customFormat="1">
      <c r="C181" s="26"/>
      <c r="D181" s="115" t="s">
        <v>382</v>
      </c>
      <c r="E181" s="34">
        <v>46569</v>
      </c>
      <c r="F181" s="92" t="str">
        <f t="shared" si="11"/>
        <v>2027-28</v>
      </c>
      <c r="G181" s="199"/>
      <c r="H181" s="117" t="str">
        <f t="shared" si="9"/>
        <v>Mamre Rd</v>
      </c>
      <c r="I181" s="26">
        <f t="shared" si="9"/>
        <v>7189.7586453201966</v>
      </c>
      <c r="J181" s="100">
        <f t="shared" si="10"/>
        <v>1</v>
      </c>
      <c r="K181" s="37"/>
      <c r="L181" s="26"/>
      <c r="M181" s="26"/>
      <c r="N181" s="26"/>
      <c r="O181" s="95">
        <v>9323278.7243573684</v>
      </c>
      <c r="P181" s="97">
        <f t="shared" si="5"/>
        <v>9323278.7243573684</v>
      </c>
    </row>
    <row r="182" spans="3:16" s="193" customFormat="1">
      <c r="C182" s="26"/>
      <c r="D182" s="115" t="s">
        <v>383</v>
      </c>
      <c r="E182" s="34">
        <v>46569</v>
      </c>
      <c r="F182" s="92" t="str">
        <f t="shared" si="11"/>
        <v>2027-28</v>
      </c>
      <c r="G182" s="199"/>
      <c r="H182" s="117" t="str">
        <f t="shared" si="9"/>
        <v>Mamre Rd</v>
      </c>
      <c r="I182" s="26">
        <f t="shared" si="9"/>
        <v>7189.7586453201966</v>
      </c>
      <c r="J182" s="100">
        <f t="shared" si="10"/>
        <v>1</v>
      </c>
      <c r="K182" s="37"/>
      <c r="L182" s="26"/>
      <c r="M182" s="26"/>
      <c r="N182" s="26"/>
      <c r="O182" s="95">
        <v>235915.2</v>
      </c>
      <c r="P182" s="97">
        <f t="shared" si="5"/>
        <v>235915.2</v>
      </c>
    </row>
    <row r="183" spans="3:16" s="193" customFormat="1">
      <c r="C183" s="26"/>
      <c r="D183" s="115" t="s">
        <v>384</v>
      </c>
      <c r="E183" s="34">
        <v>46569</v>
      </c>
      <c r="F183" s="92" t="str">
        <f t="shared" si="11"/>
        <v>2027-28</v>
      </c>
      <c r="G183" s="199"/>
      <c r="H183" s="117" t="str">
        <f t="shared" si="9"/>
        <v>Mamre Rd</v>
      </c>
      <c r="I183" s="26">
        <f t="shared" si="9"/>
        <v>7189.7586453201966</v>
      </c>
      <c r="J183" s="100">
        <f t="shared" si="10"/>
        <v>1</v>
      </c>
      <c r="K183" s="37"/>
      <c r="L183" s="26"/>
      <c r="M183" s="26"/>
      <c r="N183" s="26"/>
      <c r="O183" s="95">
        <v>235915.2</v>
      </c>
      <c r="P183" s="97">
        <f t="shared" si="5"/>
        <v>235915.2</v>
      </c>
    </row>
    <row r="184" spans="3:16" s="193" customFormat="1">
      <c r="C184" s="26"/>
      <c r="D184" s="115" t="s">
        <v>385</v>
      </c>
      <c r="E184" s="34">
        <v>46569</v>
      </c>
      <c r="F184" s="92" t="str">
        <f t="shared" si="11"/>
        <v>2027-28</v>
      </c>
      <c r="G184" s="199"/>
      <c r="H184" s="117" t="str">
        <f t="shared" si="9"/>
        <v>Mamre Rd</v>
      </c>
      <c r="I184" s="26">
        <f t="shared" si="9"/>
        <v>7189.7586453201966</v>
      </c>
      <c r="J184" s="100">
        <f t="shared" si="10"/>
        <v>1</v>
      </c>
      <c r="K184" s="37"/>
      <c r="L184" s="26"/>
      <c r="M184" s="26"/>
      <c r="N184" s="26"/>
      <c r="O184" s="95">
        <v>144678.09248575623</v>
      </c>
      <c r="P184" s="97">
        <f t="shared" si="5"/>
        <v>144678.09248575623</v>
      </c>
    </row>
    <row r="185" spans="3:16" s="193" customFormat="1">
      <c r="C185" s="26"/>
      <c r="D185" s="115" t="s">
        <v>386</v>
      </c>
      <c r="E185" s="34">
        <v>46569</v>
      </c>
      <c r="F185" s="92" t="str">
        <f t="shared" si="11"/>
        <v>2027-28</v>
      </c>
      <c r="G185" s="199"/>
      <c r="H185" s="117" t="str">
        <f t="shared" si="9"/>
        <v>Mamre Rd</v>
      </c>
      <c r="I185" s="26">
        <f t="shared" si="9"/>
        <v>7189.7586453201966</v>
      </c>
      <c r="J185" s="100">
        <f t="shared" si="10"/>
        <v>1</v>
      </c>
      <c r="K185" s="37"/>
      <c r="L185" s="26"/>
      <c r="M185" s="26"/>
      <c r="N185" s="26"/>
      <c r="O185" s="95">
        <v>1181000.2359983989</v>
      </c>
      <c r="P185" s="97">
        <f t="shared" si="5"/>
        <v>1181000.2359983989</v>
      </c>
    </row>
    <row r="186" spans="3:16" s="193" customFormat="1">
      <c r="C186" s="26"/>
      <c r="D186" s="115" t="s">
        <v>387</v>
      </c>
      <c r="E186" s="34">
        <v>46569</v>
      </c>
      <c r="F186" s="92" t="str">
        <f t="shared" si="11"/>
        <v>2027-28</v>
      </c>
      <c r="G186" s="199"/>
      <c r="H186" s="117" t="str">
        <f t="shared" si="9"/>
        <v>Mamre Rd</v>
      </c>
      <c r="I186" s="26">
        <f t="shared" si="9"/>
        <v>7189.7586453201966</v>
      </c>
      <c r="J186" s="100">
        <f t="shared" si="10"/>
        <v>1</v>
      </c>
      <c r="K186" s="37"/>
      <c r="L186" s="26"/>
      <c r="M186" s="26"/>
      <c r="N186" s="26"/>
      <c r="O186" s="95">
        <v>516455.9968989878</v>
      </c>
      <c r="P186" s="97">
        <f t="shared" si="5"/>
        <v>516455.9968989878</v>
      </c>
    </row>
    <row r="187" spans="3:16" s="193" customFormat="1">
      <c r="C187" s="26"/>
      <c r="D187" s="115" t="s">
        <v>388</v>
      </c>
      <c r="E187" s="34">
        <v>46569</v>
      </c>
      <c r="F187" s="92" t="str">
        <f t="shared" si="11"/>
        <v>2027-28</v>
      </c>
      <c r="G187" s="199"/>
      <c r="H187" s="117" t="str">
        <f t="shared" si="9"/>
        <v>Mamre Rd</v>
      </c>
      <c r="I187" s="26">
        <f t="shared" si="9"/>
        <v>7189.7586453201966</v>
      </c>
      <c r="J187" s="100">
        <f t="shared" si="10"/>
        <v>1</v>
      </c>
      <c r="K187" s="37"/>
      <c r="L187" s="26"/>
      <c r="M187" s="26"/>
      <c r="N187" s="26"/>
      <c r="O187" s="95">
        <v>2268967.7698865705</v>
      </c>
      <c r="P187" s="97">
        <f t="shared" si="5"/>
        <v>2268967.7698865705</v>
      </c>
    </row>
    <row r="188" spans="3:16" s="193" customFormat="1">
      <c r="C188" s="26"/>
      <c r="D188" s="115" t="s">
        <v>389</v>
      </c>
      <c r="E188" s="34">
        <v>46569</v>
      </c>
      <c r="F188" s="92" t="str">
        <f t="shared" si="11"/>
        <v>2027-28</v>
      </c>
      <c r="G188" s="199"/>
      <c r="H188" s="117" t="str">
        <f t="shared" si="9"/>
        <v>Mamre Rd</v>
      </c>
      <c r="I188" s="26">
        <f t="shared" si="9"/>
        <v>7189.7586453201966</v>
      </c>
      <c r="J188" s="100">
        <f t="shared" si="10"/>
        <v>1</v>
      </c>
      <c r="K188" s="37"/>
      <c r="L188" s="26"/>
      <c r="M188" s="26"/>
      <c r="N188" s="26"/>
      <c r="O188" s="95">
        <v>31397.155487360295</v>
      </c>
      <c r="P188" s="97">
        <f t="shared" si="5"/>
        <v>31397.155487360295</v>
      </c>
    </row>
    <row r="189" spans="3:16" s="193" customFormat="1">
      <c r="C189" s="26"/>
      <c r="D189" s="115" t="s">
        <v>390</v>
      </c>
      <c r="E189" s="34">
        <v>46569</v>
      </c>
      <c r="F189" s="92" t="str">
        <f t="shared" si="11"/>
        <v>2027-28</v>
      </c>
      <c r="G189" s="199"/>
      <c r="H189" s="117" t="str">
        <f t="shared" si="9"/>
        <v>Mamre Rd</v>
      </c>
      <c r="I189" s="26">
        <f t="shared" si="9"/>
        <v>7189.7586453201966</v>
      </c>
      <c r="J189" s="100">
        <f t="shared" si="10"/>
        <v>1</v>
      </c>
      <c r="K189" s="37"/>
      <c r="L189" s="26"/>
      <c r="M189" s="26"/>
      <c r="N189" s="26"/>
      <c r="O189" s="95">
        <v>58608.023576405882</v>
      </c>
      <c r="P189" s="97">
        <f t="shared" si="5"/>
        <v>58608.023576405882</v>
      </c>
    </row>
    <row r="190" spans="3:16" s="193" customFormat="1">
      <c r="C190" s="26"/>
      <c r="D190" s="115" t="s">
        <v>391</v>
      </c>
      <c r="E190" s="34">
        <v>46569</v>
      </c>
      <c r="F190" s="92" t="str">
        <f t="shared" si="11"/>
        <v>2027-28</v>
      </c>
      <c r="G190" s="199"/>
      <c r="H190" s="117" t="str">
        <f t="shared" si="9"/>
        <v>Mamre Rd</v>
      </c>
      <c r="I190" s="26">
        <f t="shared" si="9"/>
        <v>7189.7586453201966</v>
      </c>
      <c r="J190" s="100">
        <f t="shared" si="10"/>
        <v>1</v>
      </c>
      <c r="K190" s="37"/>
      <c r="L190" s="26"/>
      <c r="M190" s="26"/>
      <c r="N190" s="26"/>
      <c r="O190" s="95">
        <v>2187130.7075349651</v>
      </c>
      <c r="P190" s="97">
        <f t="shared" si="5"/>
        <v>2187130.7075349651</v>
      </c>
    </row>
    <row r="191" spans="3:16" s="193" customFormat="1">
      <c r="C191" s="26"/>
      <c r="D191" s="115" t="s">
        <v>392</v>
      </c>
      <c r="E191" s="34">
        <v>46569</v>
      </c>
      <c r="F191" s="92" t="str">
        <f t="shared" si="11"/>
        <v>2027-28</v>
      </c>
      <c r="G191" s="199"/>
      <c r="H191" s="117" t="str">
        <f t="shared" si="9"/>
        <v>Mamre Rd</v>
      </c>
      <c r="I191" s="26">
        <f t="shared" si="9"/>
        <v>7189.7586453201966</v>
      </c>
      <c r="J191" s="100">
        <f t="shared" si="10"/>
        <v>1</v>
      </c>
      <c r="K191" s="37"/>
      <c r="L191" s="26"/>
      <c r="M191" s="26"/>
      <c r="N191" s="26"/>
      <c r="O191" s="95">
        <v>1842998.2165430363</v>
      </c>
      <c r="P191" s="97">
        <f t="shared" si="5"/>
        <v>1842998.2165430363</v>
      </c>
    </row>
    <row r="192" spans="3:16" s="193" customFormat="1">
      <c r="C192" s="26"/>
      <c r="D192" s="115" t="s">
        <v>393</v>
      </c>
      <c r="E192" s="34">
        <v>46569</v>
      </c>
      <c r="F192" s="92" t="str">
        <f t="shared" si="11"/>
        <v>2027-28</v>
      </c>
      <c r="G192" s="199"/>
      <c r="H192" s="117" t="str">
        <f t="shared" si="9"/>
        <v>Mamre Rd</v>
      </c>
      <c r="I192" s="26">
        <f t="shared" si="9"/>
        <v>7189.7586453201966</v>
      </c>
      <c r="J192" s="100">
        <f t="shared" si="10"/>
        <v>1</v>
      </c>
      <c r="K192" s="37"/>
      <c r="L192" s="26"/>
      <c r="M192" s="26"/>
      <c r="N192" s="26"/>
      <c r="O192" s="95">
        <v>1244359.8017964812</v>
      </c>
      <c r="P192" s="97">
        <f t="shared" si="5"/>
        <v>1244359.8017964812</v>
      </c>
    </row>
    <row r="193" spans="3:16" s="193" customFormat="1">
      <c r="C193" s="26"/>
      <c r="D193" s="115" t="s">
        <v>394</v>
      </c>
      <c r="E193" s="34">
        <v>46569</v>
      </c>
      <c r="F193" s="92" t="str">
        <f t="shared" si="11"/>
        <v>2027-28</v>
      </c>
      <c r="G193" s="199"/>
      <c r="H193" s="117" t="str">
        <f t="shared" si="9"/>
        <v>Mamre Rd</v>
      </c>
      <c r="I193" s="26">
        <f t="shared" si="9"/>
        <v>7189.7586453201966</v>
      </c>
      <c r="J193" s="100">
        <f t="shared" si="10"/>
        <v>1</v>
      </c>
      <c r="K193" s="37"/>
      <c r="L193" s="26"/>
      <c r="M193" s="26"/>
      <c r="N193" s="26"/>
      <c r="O193" s="95">
        <v>1013007.4537637893</v>
      </c>
      <c r="P193" s="97">
        <f t="shared" si="5"/>
        <v>1013007.4537637893</v>
      </c>
    </row>
    <row r="194" spans="3:16" s="193" customFormat="1">
      <c r="C194" s="26"/>
      <c r="D194" s="115" t="s">
        <v>395</v>
      </c>
      <c r="E194" s="34">
        <v>46569</v>
      </c>
      <c r="F194" s="92" t="str">
        <f t="shared" si="11"/>
        <v>2027-28</v>
      </c>
      <c r="G194" s="199"/>
      <c r="H194" s="117" t="str">
        <f t="shared" si="9"/>
        <v>Mamre Rd</v>
      </c>
      <c r="I194" s="26">
        <f t="shared" si="9"/>
        <v>7189.7586453201966</v>
      </c>
      <c r="J194" s="100">
        <f t="shared" si="10"/>
        <v>1</v>
      </c>
      <c r="K194" s="37"/>
      <c r="L194" s="26"/>
      <c r="M194" s="26"/>
      <c r="N194" s="26"/>
      <c r="O194" s="95">
        <v>939759.93825774628</v>
      </c>
      <c r="P194" s="97">
        <f t="shared" si="5"/>
        <v>939759.93825774628</v>
      </c>
    </row>
    <row r="195" spans="3:16" s="193" customFormat="1">
      <c r="C195" s="26"/>
      <c r="D195" s="115" t="s">
        <v>396</v>
      </c>
      <c r="E195" s="34">
        <v>46569</v>
      </c>
      <c r="F195" s="92" t="str">
        <f t="shared" si="11"/>
        <v>2027-28</v>
      </c>
      <c r="G195" s="199"/>
      <c r="H195" s="117" t="str">
        <f t="shared" si="9"/>
        <v>Mamre Rd</v>
      </c>
      <c r="I195" s="26">
        <f t="shared" si="9"/>
        <v>7189.7586453201966</v>
      </c>
      <c r="J195" s="100">
        <f t="shared" si="10"/>
        <v>1</v>
      </c>
      <c r="K195" s="37"/>
      <c r="L195" s="26"/>
      <c r="M195" s="26"/>
      <c r="N195" s="26"/>
      <c r="O195" s="95">
        <v>710727.71643610054</v>
      </c>
      <c r="P195" s="97">
        <f t="shared" si="5"/>
        <v>710727.71643610054</v>
      </c>
    </row>
    <row r="196" spans="3:16" s="193" customFormat="1">
      <c r="C196" s="26"/>
      <c r="D196" s="115" t="s">
        <v>397</v>
      </c>
      <c r="E196" s="34">
        <v>46569</v>
      </c>
      <c r="F196" s="92" t="str">
        <f t="shared" si="11"/>
        <v>2027-28</v>
      </c>
      <c r="G196" s="199"/>
      <c r="H196" s="117" t="str">
        <f t="shared" si="9"/>
        <v>Mamre Rd</v>
      </c>
      <c r="I196" s="26">
        <f t="shared" si="9"/>
        <v>7189.7586453201966</v>
      </c>
      <c r="J196" s="100">
        <f t="shared" si="10"/>
        <v>1</v>
      </c>
      <c r="K196" s="37"/>
      <c r="L196" s="26"/>
      <c r="M196" s="26"/>
      <c r="N196" s="26"/>
      <c r="O196" s="95">
        <v>1041180.3275602126</v>
      </c>
      <c r="P196" s="97">
        <f t="shared" si="5"/>
        <v>1041180.3275602126</v>
      </c>
    </row>
    <row r="197" spans="3:16" s="193" customFormat="1">
      <c r="C197" s="26"/>
      <c r="D197" s="115" t="s">
        <v>398</v>
      </c>
      <c r="E197" s="34">
        <v>46569</v>
      </c>
      <c r="F197" s="92" t="str">
        <f t="shared" si="11"/>
        <v>2027-28</v>
      </c>
      <c r="G197" s="199"/>
      <c r="H197" s="117" t="str">
        <f t="shared" si="9"/>
        <v>Mamre Rd</v>
      </c>
      <c r="I197" s="26">
        <f t="shared" si="9"/>
        <v>7189.7586453201966</v>
      </c>
      <c r="J197" s="100">
        <f t="shared" si="10"/>
        <v>1</v>
      </c>
      <c r="K197" s="37"/>
      <c r="L197" s="26"/>
      <c r="M197" s="26"/>
      <c r="N197" s="26"/>
      <c r="O197" s="95">
        <v>1354816.3949065222</v>
      </c>
      <c r="P197" s="97">
        <f t="shared" si="5"/>
        <v>1354816.3949065222</v>
      </c>
    </row>
    <row r="198" spans="3:16" s="193" customFormat="1">
      <c r="C198" s="26"/>
      <c r="D198" s="115" t="s">
        <v>399</v>
      </c>
      <c r="E198" s="34">
        <v>46569</v>
      </c>
      <c r="F198" s="92" t="str">
        <f t="shared" si="11"/>
        <v>2027-28</v>
      </c>
      <c r="G198" s="199"/>
      <c r="H198" s="117" t="str">
        <f t="shared" si="9"/>
        <v>Mamre Rd</v>
      </c>
      <c r="I198" s="26">
        <f t="shared" si="9"/>
        <v>7189.7586453201966</v>
      </c>
      <c r="J198" s="100">
        <f t="shared" si="10"/>
        <v>1</v>
      </c>
      <c r="K198" s="37"/>
      <c r="L198" s="26"/>
      <c r="M198" s="26"/>
      <c r="N198" s="26"/>
      <c r="O198" s="95">
        <v>1095410.8250651679</v>
      </c>
      <c r="P198" s="97">
        <f t="shared" si="5"/>
        <v>1095410.8250651679</v>
      </c>
    </row>
    <row r="199" spans="3:16" s="193" customFormat="1">
      <c r="C199" s="26"/>
      <c r="D199" s="115" t="s">
        <v>400</v>
      </c>
      <c r="E199" s="34">
        <v>46569</v>
      </c>
      <c r="F199" s="92" t="str">
        <f t="shared" si="11"/>
        <v>2027-28</v>
      </c>
      <c r="G199" s="199"/>
      <c r="H199" s="117" t="str">
        <f t="shared" si="9"/>
        <v>Mamre Rd</v>
      </c>
      <c r="I199" s="26">
        <f t="shared" si="9"/>
        <v>7189.7586453201966</v>
      </c>
      <c r="J199" s="100">
        <f t="shared" si="10"/>
        <v>1</v>
      </c>
      <c r="K199" s="37"/>
      <c r="L199" s="26"/>
      <c r="M199" s="26"/>
      <c r="N199" s="26"/>
      <c r="O199" s="95">
        <v>349261.42248454626</v>
      </c>
      <c r="P199" s="97">
        <f t="shared" si="5"/>
        <v>349261.42248454626</v>
      </c>
    </row>
    <row r="200" spans="3:16" s="193" customFormat="1">
      <c r="C200" s="26"/>
      <c r="D200" s="115" t="s">
        <v>401</v>
      </c>
      <c r="E200" s="34">
        <v>46569</v>
      </c>
      <c r="F200" s="92" t="str">
        <f t="shared" si="11"/>
        <v>2027-28</v>
      </c>
      <c r="G200" s="199"/>
      <c r="H200" s="117" t="str">
        <f t="shared" si="9"/>
        <v>Mamre Rd</v>
      </c>
      <c r="I200" s="26">
        <f t="shared" si="9"/>
        <v>7189.7586453201966</v>
      </c>
      <c r="J200" s="100">
        <f t="shared" si="10"/>
        <v>1</v>
      </c>
      <c r="K200" s="37"/>
      <c r="L200" s="26"/>
      <c r="M200" s="26"/>
      <c r="N200" s="26"/>
      <c r="O200" s="95">
        <v>482362.41051033419</v>
      </c>
      <c r="P200" s="97">
        <f t="shared" si="5"/>
        <v>482362.41051033419</v>
      </c>
    </row>
    <row r="201" spans="3:16" s="193" customFormat="1">
      <c r="C201" s="26"/>
      <c r="D201" s="115" t="s">
        <v>402</v>
      </c>
      <c r="E201" s="34">
        <v>46569</v>
      </c>
      <c r="F201" s="92" t="str">
        <f t="shared" si="11"/>
        <v>2027-28</v>
      </c>
      <c r="G201" s="199"/>
      <c r="H201" s="117" t="str">
        <f t="shared" si="9"/>
        <v>Mamre Rd</v>
      </c>
      <c r="I201" s="26">
        <f t="shared" si="9"/>
        <v>7189.7586453201966</v>
      </c>
      <c r="J201" s="100">
        <f t="shared" si="10"/>
        <v>1</v>
      </c>
      <c r="K201" s="37"/>
      <c r="L201" s="26"/>
      <c r="M201" s="26"/>
      <c r="N201" s="26"/>
      <c r="O201" s="95">
        <v>1279698.2971287547</v>
      </c>
      <c r="P201" s="97">
        <f t="shared" si="5"/>
        <v>1279698.2971287547</v>
      </c>
    </row>
    <row r="202" spans="3:16" s="193" customFormat="1">
      <c r="C202" s="26"/>
      <c r="D202" s="115" t="s">
        <v>403</v>
      </c>
      <c r="E202" s="34">
        <v>46569</v>
      </c>
      <c r="F202" s="92" t="str">
        <f t="shared" si="11"/>
        <v>2027-28</v>
      </c>
      <c r="G202" s="199"/>
      <c r="H202" s="117" t="str">
        <f t="shared" si="9"/>
        <v>Mamre Rd</v>
      </c>
      <c r="I202" s="26">
        <f t="shared" si="9"/>
        <v>7189.7586453201966</v>
      </c>
      <c r="J202" s="100">
        <f t="shared" si="10"/>
        <v>1</v>
      </c>
      <c r="K202" s="37"/>
      <c r="L202" s="26"/>
      <c r="M202" s="26"/>
      <c r="N202" s="26"/>
      <c r="O202" s="95">
        <v>456384.9809267018</v>
      </c>
      <c r="P202" s="97">
        <f t="shared" si="5"/>
        <v>456384.9809267018</v>
      </c>
    </row>
    <row r="203" spans="3:16" s="193" customFormat="1">
      <c r="C203" s="26"/>
      <c r="D203" s="115" t="s">
        <v>404</v>
      </c>
      <c r="E203" s="34">
        <v>46569</v>
      </c>
      <c r="F203" s="92" t="str">
        <f t="shared" si="11"/>
        <v>2027-28</v>
      </c>
      <c r="G203" s="199"/>
      <c r="H203" s="117" t="str">
        <f t="shared" si="9"/>
        <v>Mamre Rd</v>
      </c>
      <c r="I203" s="26">
        <f t="shared" si="9"/>
        <v>7189.7586453201966</v>
      </c>
      <c r="J203" s="100">
        <f t="shared" si="10"/>
        <v>1</v>
      </c>
      <c r="K203" s="37"/>
      <c r="L203" s="26"/>
      <c r="M203" s="26"/>
      <c r="N203" s="26"/>
      <c r="O203" s="95">
        <v>903967.93898602494</v>
      </c>
      <c r="P203" s="97">
        <f t="shared" si="5"/>
        <v>903967.93898602494</v>
      </c>
    </row>
    <row r="204" spans="3:16" s="193" customFormat="1">
      <c r="C204" s="26"/>
      <c r="D204" s="115" t="s">
        <v>405</v>
      </c>
      <c r="E204" s="34">
        <v>46569</v>
      </c>
      <c r="F204" s="92" t="str">
        <f t="shared" si="11"/>
        <v>2027-28</v>
      </c>
      <c r="G204" s="199"/>
      <c r="H204" s="117" t="str">
        <f t="shared" si="9"/>
        <v>Mamre Rd</v>
      </c>
      <c r="I204" s="26">
        <f t="shared" si="9"/>
        <v>7189.7586453201966</v>
      </c>
      <c r="J204" s="100">
        <f t="shared" si="10"/>
        <v>1</v>
      </c>
      <c r="K204" s="37"/>
      <c r="L204" s="26"/>
      <c r="M204" s="26"/>
      <c r="N204" s="26"/>
      <c r="O204" s="95">
        <v>1098493.8508945541</v>
      </c>
      <c r="P204" s="97">
        <f t="shared" si="5"/>
        <v>1098493.8508945541</v>
      </c>
    </row>
    <row r="205" spans="3:16" s="193" customFormat="1">
      <c r="C205" s="26"/>
      <c r="D205" s="115" t="s">
        <v>406</v>
      </c>
      <c r="E205" s="34">
        <v>46569</v>
      </c>
      <c r="F205" s="92" t="str">
        <f t="shared" si="11"/>
        <v>2027-28</v>
      </c>
      <c r="G205" s="199"/>
      <c r="H205" s="117" t="str">
        <f t="shared" si="9"/>
        <v>Mamre Rd</v>
      </c>
      <c r="I205" s="26">
        <f t="shared" si="9"/>
        <v>7189.7586453201966</v>
      </c>
      <c r="J205" s="100">
        <f t="shared" si="10"/>
        <v>1</v>
      </c>
      <c r="K205" s="37"/>
      <c r="L205" s="26"/>
      <c r="M205" s="26"/>
      <c r="N205" s="26"/>
      <c r="O205" s="95">
        <v>1279698.2971287547</v>
      </c>
      <c r="P205" s="97">
        <f t="shared" si="5"/>
        <v>1279698.2971287547</v>
      </c>
    </row>
    <row r="206" spans="3:16" s="193" customFormat="1">
      <c r="C206" s="26"/>
      <c r="D206" s="115" t="s">
        <v>407</v>
      </c>
      <c r="E206" s="34">
        <v>46569</v>
      </c>
      <c r="F206" s="92" t="str">
        <f t="shared" si="11"/>
        <v>2027-28</v>
      </c>
      <c r="G206" s="199"/>
      <c r="H206" s="117" t="str">
        <f t="shared" si="9"/>
        <v>Mamre Rd</v>
      </c>
      <c r="I206" s="26">
        <f t="shared" si="9"/>
        <v>7189.7586453201966</v>
      </c>
      <c r="J206" s="100">
        <f t="shared" si="10"/>
        <v>1</v>
      </c>
      <c r="K206" s="37"/>
      <c r="L206" s="26"/>
      <c r="M206" s="26"/>
      <c r="N206" s="26"/>
      <c r="O206" s="95">
        <v>420659.98255190981</v>
      </c>
      <c r="P206" s="97">
        <f t="shared" si="5"/>
        <v>420659.98255190981</v>
      </c>
    </row>
    <row r="207" spans="3:16" s="193" customFormat="1">
      <c r="C207" s="26"/>
      <c r="D207" s="115" t="s">
        <v>408</v>
      </c>
      <c r="E207" s="34">
        <v>46569</v>
      </c>
      <c r="F207" s="92" t="str">
        <f t="shared" si="11"/>
        <v>2027-28</v>
      </c>
      <c r="G207" s="199"/>
      <c r="H207" s="117" t="str">
        <f t="shared" si="9"/>
        <v>Mamre Rd</v>
      </c>
      <c r="I207" s="26">
        <f t="shared" si="9"/>
        <v>7189.7586453201966</v>
      </c>
      <c r="J207" s="100">
        <f t="shared" si="10"/>
        <v>1</v>
      </c>
      <c r="K207" s="37"/>
      <c r="L207" s="26"/>
      <c r="M207" s="26"/>
      <c r="N207" s="26"/>
      <c r="O207" s="95">
        <v>2943861.0280454247</v>
      </c>
      <c r="P207" s="97">
        <f t="shared" si="5"/>
        <v>2943861.0280454247</v>
      </c>
    </row>
    <row r="208" spans="3:16" s="193" customFormat="1">
      <c r="C208" s="26"/>
      <c r="D208" s="115" t="s">
        <v>409</v>
      </c>
      <c r="E208" s="34">
        <v>46569</v>
      </c>
      <c r="F208" s="92" t="str">
        <f t="shared" si="11"/>
        <v>2027-28</v>
      </c>
      <c r="G208" s="199"/>
      <c r="H208" s="117" t="str">
        <f t="shared" si="9"/>
        <v>Mamre Rd</v>
      </c>
      <c r="I208" s="26">
        <f t="shared" si="9"/>
        <v>7189.7586453201966</v>
      </c>
      <c r="J208" s="100">
        <f t="shared" si="10"/>
        <v>1</v>
      </c>
      <c r="K208" s="37"/>
      <c r="L208" s="26"/>
      <c r="M208" s="26"/>
      <c r="N208" s="26"/>
      <c r="O208" s="95">
        <v>289535.10319333232</v>
      </c>
      <c r="P208" s="97">
        <f t="shared" si="5"/>
        <v>289535.10319333232</v>
      </c>
    </row>
    <row r="209" spans="3:16" s="193" customFormat="1">
      <c r="C209" s="26"/>
      <c r="D209" s="115" t="s">
        <v>410</v>
      </c>
      <c r="E209" s="34">
        <v>46569</v>
      </c>
      <c r="F209" s="92" t="str">
        <f t="shared" si="11"/>
        <v>2027-28</v>
      </c>
      <c r="G209" s="199"/>
      <c r="H209" s="117" t="str">
        <f t="shared" si="9"/>
        <v>Mamre Rd</v>
      </c>
      <c r="I209" s="26">
        <f t="shared" si="9"/>
        <v>7189.7586453201966</v>
      </c>
      <c r="J209" s="100">
        <f t="shared" si="10"/>
        <v>1</v>
      </c>
      <c r="K209" s="37"/>
      <c r="L209" s="26"/>
      <c r="M209" s="26"/>
      <c r="N209" s="26"/>
      <c r="O209" s="95">
        <v>108093.10519217742</v>
      </c>
      <c r="P209" s="97">
        <f t="shared" si="5"/>
        <v>108093.10519217742</v>
      </c>
    </row>
    <row r="210" spans="3:16" s="193" customFormat="1">
      <c r="C210" s="26"/>
      <c r="D210" s="115" t="s">
        <v>411</v>
      </c>
      <c r="E210" s="34">
        <v>46569</v>
      </c>
      <c r="F210" s="92" t="str">
        <f t="shared" si="11"/>
        <v>2027-28</v>
      </c>
      <c r="G210" s="199"/>
      <c r="H210" s="117" t="str">
        <f t="shared" si="9"/>
        <v>Mamre Rd</v>
      </c>
      <c r="I210" s="26">
        <f t="shared" si="9"/>
        <v>7189.7586453201966</v>
      </c>
      <c r="J210" s="100">
        <f t="shared" si="10"/>
        <v>1</v>
      </c>
      <c r="K210" s="37"/>
      <c r="L210" s="26"/>
      <c r="M210" s="26"/>
      <c r="N210" s="26"/>
      <c r="O210" s="95">
        <v>245139.7207036881</v>
      </c>
      <c r="P210" s="97">
        <f t="shared" si="5"/>
        <v>245139.7207036881</v>
      </c>
    </row>
    <row r="211" spans="3:16" s="193" customFormat="1" ht="24">
      <c r="C211" s="26"/>
      <c r="D211" s="115" t="s">
        <v>412</v>
      </c>
      <c r="E211" s="34">
        <v>46569</v>
      </c>
      <c r="F211" s="92" t="str">
        <f t="shared" si="11"/>
        <v>2027-28</v>
      </c>
      <c r="G211" s="199"/>
      <c r="H211" s="117" t="str">
        <f t="shared" si="9"/>
        <v>Mamre Rd</v>
      </c>
      <c r="I211" s="26">
        <f t="shared" si="9"/>
        <v>7189.7586453201966</v>
      </c>
      <c r="J211" s="100">
        <f t="shared" si="10"/>
        <v>1</v>
      </c>
      <c r="K211" s="37"/>
      <c r="L211" s="26"/>
      <c r="M211" s="26"/>
      <c r="N211" s="26"/>
      <c r="O211" s="95">
        <v>5147019.203851359</v>
      </c>
      <c r="P211" s="97">
        <f t="shared" si="5"/>
        <v>5147019.203851359</v>
      </c>
    </row>
    <row r="212" spans="3:16" s="193" customFormat="1">
      <c r="C212" s="26"/>
      <c r="D212" s="115" t="s">
        <v>413</v>
      </c>
      <c r="E212" s="34">
        <v>46569</v>
      </c>
      <c r="F212" s="92" t="str">
        <f t="shared" si="11"/>
        <v>2027-28</v>
      </c>
      <c r="G212" s="199"/>
      <c r="H212" s="117" t="str">
        <f t="shared" si="9"/>
        <v>Mamre Rd</v>
      </c>
      <c r="I212" s="26">
        <f t="shared" si="9"/>
        <v>7189.7586453201966</v>
      </c>
      <c r="J212" s="100">
        <f t="shared" si="10"/>
        <v>1</v>
      </c>
      <c r="K212" s="37"/>
      <c r="L212" s="26"/>
      <c r="M212" s="26"/>
      <c r="N212" s="26"/>
      <c r="O212" s="95">
        <v>1698734.8783668389</v>
      </c>
      <c r="P212" s="97">
        <f t="shared" si="5"/>
        <v>1698734.8783668389</v>
      </c>
    </row>
    <row r="213" spans="3:16" s="193" customFormat="1">
      <c r="C213" s="26"/>
      <c r="D213" s="115" t="s">
        <v>414</v>
      </c>
      <c r="E213" s="34">
        <v>46569</v>
      </c>
      <c r="F213" s="92" t="str">
        <f t="shared" si="11"/>
        <v>2027-28</v>
      </c>
      <c r="G213" s="199"/>
      <c r="H213" s="117" t="str">
        <f t="shared" si="9"/>
        <v>Mamre Rd</v>
      </c>
      <c r="I213" s="26">
        <f t="shared" si="9"/>
        <v>7189.7586453201966</v>
      </c>
      <c r="J213" s="100">
        <f t="shared" si="10"/>
        <v>1</v>
      </c>
      <c r="K213" s="37"/>
      <c r="L213" s="26"/>
      <c r="M213" s="26"/>
      <c r="N213" s="26"/>
      <c r="O213" s="95">
        <v>146171.98987055599</v>
      </c>
      <c r="P213" s="97">
        <f t="shared" si="5"/>
        <v>146171.98987055599</v>
      </c>
    </row>
    <row r="214" spans="3:16" s="193" customFormat="1">
      <c r="C214" s="26"/>
      <c r="D214" s="115" t="s">
        <v>415</v>
      </c>
      <c r="E214" s="34">
        <v>46569</v>
      </c>
      <c r="F214" s="92" t="str">
        <f t="shared" si="11"/>
        <v>2027-28</v>
      </c>
      <c r="G214" s="199"/>
      <c r="H214" s="117" t="str">
        <f t="shared" si="9"/>
        <v>Mamre Rd</v>
      </c>
      <c r="I214" s="26">
        <f t="shared" si="9"/>
        <v>7189.7586453201966</v>
      </c>
      <c r="J214" s="100">
        <f t="shared" si="10"/>
        <v>1</v>
      </c>
      <c r="K214" s="37"/>
      <c r="L214" s="26"/>
      <c r="M214" s="26"/>
      <c r="N214" s="26"/>
      <c r="O214" s="95">
        <v>65173.965682014859</v>
      </c>
      <c r="P214" s="97">
        <f t="shared" si="5"/>
        <v>65173.965682014859</v>
      </c>
    </row>
    <row r="215" spans="3:16" s="193" customFormat="1">
      <c r="C215" s="26"/>
      <c r="D215" s="115" t="s">
        <v>416</v>
      </c>
      <c r="E215" s="34">
        <v>46569</v>
      </c>
      <c r="F215" s="92" t="str">
        <f>F214</f>
        <v>2027-28</v>
      </c>
      <c r="G215" s="199"/>
      <c r="H215" s="117" t="str">
        <f t="shared" si="9"/>
        <v>Mamre Rd</v>
      </c>
      <c r="I215" s="26">
        <f t="shared" si="9"/>
        <v>7189.7586453201966</v>
      </c>
      <c r="J215" s="100">
        <f>J214</f>
        <v>1</v>
      </c>
      <c r="K215" s="37"/>
      <c r="L215" s="26"/>
      <c r="M215" s="26"/>
      <c r="N215" s="26"/>
      <c r="O215" s="95">
        <v>16948071.129759382</v>
      </c>
      <c r="P215" s="97">
        <f t="shared" si="5"/>
        <v>16948071.129759382</v>
      </c>
    </row>
    <row r="216" spans="3:16" s="193" customFormat="1">
      <c r="C216" s="26"/>
      <c r="D216" s="115" t="s">
        <v>242</v>
      </c>
      <c r="E216" s="34">
        <v>46569</v>
      </c>
      <c r="F216" s="92" t="str">
        <f>F215</f>
        <v>2027-28</v>
      </c>
      <c r="G216" s="199"/>
      <c r="H216" s="117" t="str">
        <f t="shared" si="9"/>
        <v>Mamre Rd</v>
      </c>
      <c r="I216" s="26">
        <f t="shared" si="9"/>
        <v>7189.7586453201966</v>
      </c>
      <c r="J216" s="100">
        <f t="shared" si="10"/>
        <v>1</v>
      </c>
      <c r="K216" s="37"/>
      <c r="L216" s="26"/>
      <c r="M216" s="26"/>
      <c r="N216" s="26"/>
      <c r="O216" s="95">
        <v>101132.15930647352</v>
      </c>
      <c r="P216" s="97">
        <f t="shared" si="5"/>
        <v>101132.15930647352</v>
      </c>
    </row>
    <row r="217" spans="3:16" s="193" customFormat="1">
      <c r="C217" s="26"/>
      <c r="D217" s="115" t="s">
        <v>417</v>
      </c>
      <c r="E217" s="34">
        <v>46935</v>
      </c>
      <c r="F217" s="92" t="str">
        <f t="shared" si="11"/>
        <v>2028-29</v>
      </c>
      <c r="G217" s="199"/>
      <c r="H217" s="117" t="str">
        <f t="shared" si="9"/>
        <v>Mamre Rd</v>
      </c>
      <c r="I217" s="26">
        <f t="shared" si="9"/>
        <v>7189.7586453201966</v>
      </c>
      <c r="J217" s="100">
        <f t="shared" si="10"/>
        <v>1</v>
      </c>
      <c r="K217" s="37"/>
      <c r="L217" s="26"/>
      <c r="M217" s="26"/>
      <c r="N217" s="26"/>
      <c r="O217" s="95">
        <v>146441.54539705161</v>
      </c>
      <c r="P217" s="97">
        <f t="shared" si="5"/>
        <v>146441.54539705161</v>
      </c>
    </row>
    <row r="218" spans="3:16" s="193" customFormat="1">
      <c r="C218" s="26"/>
      <c r="D218" s="115" t="s">
        <v>418</v>
      </c>
      <c r="E218" s="34">
        <v>46935</v>
      </c>
      <c r="F218" s="92" t="str">
        <f t="shared" si="11"/>
        <v>2028-29</v>
      </c>
      <c r="G218" s="199"/>
      <c r="H218" s="117" t="str">
        <f t="shared" si="9"/>
        <v>Mamre Rd</v>
      </c>
      <c r="I218" s="26">
        <f t="shared" si="9"/>
        <v>7189.7586453201966</v>
      </c>
      <c r="J218" s="100">
        <f t="shared" si="10"/>
        <v>1</v>
      </c>
      <c r="K218" s="37"/>
      <c r="L218" s="26"/>
      <c r="M218" s="26"/>
      <c r="N218" s="26"/>
      <c r="O218" s="95">
        <v>626467.44276910031</v>
      </c>
      <c r="P218" s="97">
        <f t="shared" si="5"/>
        <v>626467.44276910031</v>
      </c>
    </row>
    <row r="219" spans="3:16" s="193" customFormat="1">
      <c r="C219" s="26"/>
      <c r="D219" s="115" t="s">
        <v>419</v>
      </c>
      <c r="E219" s="34">
        <v>46935</v>
      </c>
      <c r="F219" s="92" t="str">
        <f t="shared" si="11"/>
        <v>2028-29</v>
      </c>
      <c r="G219" s="199"/>
      <c r="H219" s="117" t="str">
        <f t="shared" si="9"/>
        <v>Mamre Rd</v>
      </c>
      <c r="I219" s="26">
        <f t="shared" si="9"/>
        <v>7189.7586453201966</v>
      </c>
      <c r="J219" s="100">
        <f t="shared" si="10"/>
        <v>1</v>
      </c>
      <c r="K219" s="37"/>
      <c r="L219" s="26"/>
      <c r="M219" s="26"/>
      <c r="N219" s="26"/>
      <c r="O219" s="95">
        <v>438266.26024224336</v>
      </c>
      <c r="P219" s="97">
        <f t="shared" si="5"/>
        <v>438266.26024224336</v>
      </c>
    </row>
    <row r="220" spans="3:16" s="193" customFormat="1">
      <c r="C220" s="26"/>
      <c r="D220" s="115" t="s">
        <v>420</v>
      </c>
      <c r="E220" s="34">
        <v>46935</v>
      </c>
      <c r="F220" s="92" t="str">
        <f t="shared" si="11"/>
        <v>2028-29</v>
      </c>
      <c r="G220" s="199"/>
      <c r="H220" s="117" t="str">
        <f t="shared" si="9"/>
        <v>Mamre Rd</v>
      </c>
      <c r="I220" s="26">
        <f t="shared" si="9"/>
        <v>7189.7586453201966</v>
      </c>
      <c r="J220" s="100">
        <f t="shared" si="10"/>
        <v>1</v>
      </c>
      <c r="K220" s="37"/>
      <c r="L220" s="26"/>
      <c r="M220" s="26"/>
      <c r="N220" s="26"/>
      <c r="O220" s="95">
        <v>792753.21404144273</v>
      </c>
      <c r="P220" s="97">
        <f t="shared" si="5"/>
        <v>792753.21404144273</v>
      </c>
    </row>
    <row r="221" spans="3:16" s="193" customFormat="1">
      <c r="C221" s="26"/>
      <c r="D221" s="115" t="s">
        <v>421</v>
      </c>
      <c r="E221" s="34">
        <v>46935</v>
      </c>
      <c r="F221" s="92" t="str">
        <f t="shared" si="11"/>
        <v>2028-29</v>
      </c>
      <c r="G221" s="199"/>
      <c r="H221" s="117" t="str">
        <f t="shared" si="9"/>
        <v>Mamre Rd</v>
      </c>
      <c r="I221" s="26">
        <f t="shared" si="9"/>
        <v>7189.7586453201966</v>
      </c>
      <c r="J221" s="100">
        <f t="shared" si="10"/>
        <v>1</v>
      </c>
      <c r="K221" s="37"/>
      <c r="L221" s="26"/>
      <c r="M221" s="26"/>
      <c r="N221" s="26"/>
      <c r="O221" s="95">
        <v>460454.01211999799</v>
      </c>
      <c r="P221" s="97">
        <f t="shared" si="5"/>
        <v>460454.01211999799</v>
      </c>
    </row>
    <row r="222" spans="3:16" s="193" customFormat="1">
      <c r="C222" s="26"/>
      <c r="D222" s="115" t="s">
        <v>422</v>
      </c>
      <c r="E222" s="34">
        <v>46935</v>
      </c>
      <c r="F222" s="92" t="str">
        <f t="shared" si="11"/>
        <v>2028-29</v>
      </c>
      <c r="G222" s="199"/>
      <c r="H222" s="117" t="str">
        <f t="shared" si="9"/>
        <v>Mamre Rd</v>
      </c>
      <c r="I222" s="26">
        <f t="shared" si="9"/>
        <v>7189.7586453201966</v>
      </c>
      <c r="J222" s="100">
        <f t="shared" si="10"/>
        <v>1</v>
      </c>
      <c r="K222" s="37"/>
      <c r="L222" s="26"/>
      <c r="M222" s="26"/>
      <c r="N222" s="26"/>
      <c r="O222" s="95">
        <v>50446.688525889134</v>
      </c>
      <c r="P222" s="97">
        <f t="shared" si="5"/>
        <v>50446.688525889134</v>
      </c>
    </row>
    <row r="223" spans="3:16" s="193" customFormat="1">
      <c r="C223" s="26"/>
      <c r="D223" s="115" t="s">
        <v>423</v>
      </c>
      <c r="E223" s="34">
        <v>46935</v>
      </c>
      <c r="F223" s="92" t="str">
        <f t="shared" si="11"/>
        <v>2028-29</v>
      </c>
      <c r="G223" s="199"/>
      <c r="H223" s="117" t="str">
        <f t="shared" si="9"/>
        <v>Mamre Rd</v>
      </c>
      <c r="I223" s="26">
        <f t="shared" si="9"/>
        <v>7189.7586453201966</v>
      </c>
      <c r="J223" s="100">
        <f t="shared" si="10"/>
        <v>1</v>
      </c>
      <c r="K223" s="37"/>
      <c r="L223" s="26"/>
      <c r="M223" s="26"/>
      <c r="N223" s="26"/>
      <c r="O223" s="95">
        <v>5088.1207362669384</v>
      </c>
      <c r="P223" s="97">
        <f t="shared" si="5"/>
        <v>5088.1207362669384</v>
      </c>
    </row>
    <row r="224" spans="3:16" s="193" customFormat="1">
      <c r="C224" s="26"/>
      <c r="D224" s="115" t="s">
        <v>424</v>
      </c>
      <c r="E224" s="34">
        <v>46935</v>
      </c>
      <c r="F224" s="92" t="str">
        <f t="shared" si="11"/>
        <v>2028-29</v>
      </c>
      <c r="G224" s="199"/>
      <c r="H224" s="117" t="str">
        <f t="shared" si="9"/>
        <v>Mamre Rd</v>
      </c>
      <c r="I224" s="26">
        <f t="shared" si="9"/>
        <v>7189.7586453201966</v>
      </c>
      <c r="J224" s="100">
        <f t="shared" si="10"/>
        <v>1</v>
      </c>
      <c r="K224" s="37"/>
      <c r="L224" s="26"/>
      <c r="M224" s="26"/>
      <c r="N224" s="26"/>
      <c r="O224" s="95">
        <v>59383.070132439105</v>
      </c>
      <c r="P224" s="97">
        <f t="shared" si="5"/>
        <v>59383.070132439105</v>
      </c>
    </row>
    <row r="225" spans="3:16" s="193" customFormat="1">
      <c r="C225" s="26"/>
      <c r="D225" s="115" t="s">
        <v>425</v>
      </c>
      <c r="E225" s="34">
        <v>46935</v>
      </c>
      <c r="F225" s="92" t="str">
        <f t="shared" si="11"/>
        <v>2028-29</v>
      </c>
      <c r="G225" s="199"/>
      <c r="H225" s="117" t="str">
        <f t="shared" si="9"/>
        <v>Mamre Rd</v>
      </c>
      <c r="I225" s="26">
        <f t="shared" si="9"/>
        <v>7189.7586453201966</v>
      </c>
      <c r="J225" s="100">
        <f t="shared" ref="J225:J287" si="12">J224</f>
        <v>1</v>
      </c>
      <c r="K225" s="37"/>
      <c r="L225" s="26"/>
      <c r="M225" s="26"/>
      <c r="N225" s="26"/>
      <c r="O225" s="95">
        <v>53378.139239343938</v>
      </c>
      <c r="P225" s="97">
        <f t="shared" si="5"/>
        <v>53378.139239343938</v>
      </c>
    </row>
    <row r="226" spans="3:16" s="193" customFormat="1">
      <c r="C226" s="26"/>
      <c r="D226" s="115" t="s">
        <v>426</v>
      </c>
      <c r="E226" s="34">
        <v>46935</v>
      </c>
      <c r="F226" s="92" t="str">
        <f t="shared" si="11"/>
        <v>2028-29</v>
      </c>
      <c r="G226" s="199"/>
      <c r="H226" s="117" t="str">
        <f t="shared" ref="H226:I289" si="13">H225</f>
        <v>Mamre Rd</v>
      </c>
      <c r="I226" s="26">
        <f t="shared" si="13"/>
        <v>7189.7586453201966</v>
      </c>
      <c r="J226" s="100">
        <f t="shared" si="12"/>
        <v>1</v>
      </c>
      <c r="K226" s="37"/>
      <c r="L226" s="26"/>
      <c r="M226" s="26"/>
      <c r="N226" s="26"/>
      <c r="O226" s="95">
        <v>84768.056339381277</v>
      </c>
      <c r="P226" s="97">
        <f t="shared" si="5"/>
        <v>84768.056339381277</v>
      </c>
    </row>
    <row r="227" spans="3:16" s="193" customFormat="1">
      <c r="C227" s="26"/>
      <c r="D227" s="115" t="s">
        <v>427</v>
      </c>
      <c r="E227" s="34">
        <v>46935</v>
      </c>
      <c r="F227" s="92" t="str">
        <f t="shared" ref="F227:F289" si="14">IF(E227="","-",IF(E227&lt;$E$15,"ERROR - date outside of range",IF(MONTH(E227)&gt;=7,YEAR(E227)&amp;"-"&amp;RIGHT(YEAR(E227),2)+1,YEAR(E227)-1&amp;"-"&amp;RIGHT(YEAR(E227),2))))</f>
        <v>2028-29</v>
      </c>
      <c r="G227" s="199"/>
      <c r="H227" s="117" t="str">
        <f t="shared" si="13"/>
        <v>Mamre Rd</v>
      </c>
      <c r="I227" s="26">
        <f t="shared" si="13"/>
        <v>7189.7586453201966</v>
      </c>
      <c r="J227" s="100">
        <f t="shared" si="12"/>
        <v>1</v>
      </c>
      <c r="K227" s="37"/>
      <c r="L227" s="26"/>
      <c r="M227" s="26"/>
      <c r="N227" s="26"/>
      <c r="O227" s="95">
        <v>21880.792596664214</v>
      </c>
      <c r="P227" s="97">
        <f t="shared" si="5"/>
        <v>21880.792596664214</v>
      </c>
    </row>
    <row r="228" spans="3:16" s="193" customFormat="1">
      <c r="C228" s="26"/>
      <c r="D228" s="115" t="s">
        <v>428</v>
      </c>
      <c r="E228" s="34">
        <v>46935</v>
      </c>
      <c r="F228" s="92" t="str">
        <f t="shared" si="14"/>
        <v>2028-29</v>
      </c>
      <c r="G228" s="199"/>
      <c r="H228" s="117" t="str">
        <f t="shared" si="13"/>
        <v>Mamre Rd</v>
      </c>
      <c r="I228" s="26">
        <f t="shared" si="13"/>
        <v>7189.7586453201966</v>
      </c>
      <c r="J228" s="100">
        <f t="shared" si="12"/>
        <v>1</v>
      </c>
      <c r="K228" s="37"/>
      <c r="L228" s="26"/>
      <c r="M228" s="26"/>
      <c r="N228" s="26"/>
      <c r="O228" s="95">
        <v>39112.549781212947</v>
      </c>
      <c r="P228" s="97">
        <f t="shared" si="5"/>
        <v>39112.549781212947</v>
      </c>
    </row>
    <row r="229" spans="3:16" s="193" customFormat="1">
      <c r="C229" s="26"/>
      <c r="D229" s="115" t="s">
        <v>429</v>
      </c>
      <c r="E229" s="34">
        <v>46935</v>
      </c>
      <c r="F229" s="92" t="str">
        <f t="shared" si="14"/>
        <v>2028-29</v>
      </c>
      <c r="G229" s="199"/>
      <c r="H229" s="117" t="str">
        <f t="shared" si="13"/>
        <v>Mamre Rd</v>
      </c>
      <c r="I229" s="26">
        <f t="shared" si="13"/>
        <v>7189.7586453201966</v>
      </c>
      <c r="J229" s="100">
        <f t="shared" si="12"/>
        <v>1</v>
      </c>
      <c r="K229" s="37"/>
      <c r="L229" s="26"/>
      <c r="M229" s="26"/>
      <c r="N229" s="26"/>
      <c r="O229" s="95">
        <v>244007.68536404052</v>
      </c>
      <c r="P229" s="97">
        <f t="shared" si="5"/>
        <v>244007.68536404052</v>
      </c>
    </row>
    <row r="230" spans="3:16" s="193" customFormat="1">
      <c r="C230" s="26"/>
      <c r="D230" s="115" t="s">
        <v>430</v>
      </c>
      <c r="E230" s="34">
        <v>46935</v>
      </c>
      <c r="F230" s="92" t="str">
        <f t="shared" si="14"/>
        <v>2028-29</v>
      </c>
      <c r="G230" s="199"/>
      <c r="H230" s="117" t="str">
        <f t="shared" si="13"/>
        <v>Mamre Rd</v>
      </c>
      <c r="I230" s="26">
        <f t="shared" si="13"/>
        <v>7189.7586453201966</v>
      </c>
      <c r="J230" s="100">
        <f t="shared" si="12"/>
        <v>1</v>
      </c>
      <c r="K230" s="37"/>
      <c r="L230" s="26"/>
      <c r="M230" s="26"/>
      <c r="N230" s="26"/>
      <c r="O230" s="95">
        <v>1683925.7441638517</v>
      </c>
      <c r="P230" s="97">
        <f t="shared" si="5"/>
        <v>1683925.7441638517</v>
      </c>
    </row>
    <row r="231" spans="3:16" s="193" customFormat="1">
      <c r="C231" s="26"/>
      <c r="D231" s="115" t="s">
        <v>431</v>
      </c>
      <c r="E231" s="34">
        <v>46935</v>
      </c>
      <c r="F231" s="92" t="str">
        <f t="shared" si="14"/>
        <v>2028-29</v>
      </c>
      <c r="G231" s="199"/>
      <c r="H231" s="117" t="str">
        <f t="shared" si="13"/>
        <v>Mamre Rd</v>
      </c>
      <c r="I231" s="26">
        <f t="shared" si="13"/>
        <v>7189.7586453201966</v>
      </c>
      <c r="J231" s="100">
        <f t="shared" si="12"/>
        <v>1</v>
      </c>
      <c r="K231" s="37"/>
      <c r="L231" s="26"/>
      <c r="M231" s="26"/>
      <c r="N231" s="26"/>
      <c r="O231" s="95">
        <v>1105102.7948210859</v>
      </c>
      <c r="P231" s="97">
        <f t="shared" si="5"/>
        <v>1105102.7948210859</v>
      </c>
    </row>
    <row r="232" spans="3:16" s="193" customFormat="1">
      <c r="C232" s="26"/>
      <c r="D232" s="115" t="s">
        <v>432</v>
      </c>
      <c r="E232" s="34">
        <v>46935</v>
      </c>
      <c r="F232" s="92" t="str">
        <f t="shared" si="14"/>
        <v>2028-29</v>
      </c>
      <c r="G232" s="199"/>
      <c r="H232" s="117" t="str">
        <f t="shared" si="13"/>
        <v>Mamre Rd</v>
      </c>
      <c r="I232" s="26">
        <f t="shared" si="13"/>
        <v>7189.7586453201966</v>
      </c>
      <c r="J232" s="100">
        <f t="shared" si="12"/>
        <v>1</v>
      </c>
      <c r="K232" s="37"/>
      <c r="L232" s="26"/>
      <c r="M232" s="26"/>
      <c r="N232" s="26"/>
      <c r="O232" s="95">
        <v>4345819.7698901929</v>
      </c>
      <c r="P232" s="97">
        <f t="shared" si="5"/>
        <v>4345819.7698901929</v>
      </c>
    </row>
    <row r="233" spans="3:16" s="193" customFormat="1">
      <c r="C233" s="26"/>
      <c r="D233" s="115" t="s">
        <v>433</v>
      </c>
      <c r="E233" s="34">
        <v>46935</v>
      </c>
      <c r="F233" s="92" t="str">
        <f t="shared" si="14"/>
        <v>2028-29</v>
      </c>
      <c r="G233" s="199"/>
      <c r="H233" s="117" t="str">
        <f t="shared" si="13"/>
        <v>Mamre Rd</v>
      </c>
      <c r="I233" s="26">
        <f t="shared" si="13"/>
        <v>7189.7586453201966</v>
      </c>
      <c r="J233" s="100">
        <f t="shared" si="12"/>
        <v>1</v>
      </c>
      <c r="K233" s="37"/>
      <c r="L233" s="26"/>
      <c r="M233" s="26"/>
      <c r="N233" s="26"/>
      <c r="O233" s="95">
        <v>887931.3070816542</v>
      </c>
      <c r="P233" s="97">
        <f t="shared" si="5"/>
        <v>887931.3070816542</v>
      </c>
    </row>
    <row r="234" spans="3:16" s="193" customFormat="1">
      <c r="C234" s="26"/>
      <c r="D234" s="115" t="s">
        <v>434</v>
      </c>
      <c r="E234" s="34">
        <v>46935</v>
      </c>
      <c r="F234" s="92" t="str">
        <f t="shared" si="14"/>
        <v>2028-29</v>
      </c>
      <c r="G234" s="199"/>
      <c r="H234" s="117" t="str">
        <f t="shared" si="13"/>
        <v>Mamre Rd</v>
      </c>
      <c r="I234" s="26">
        <f t="shared" si="13"/>
        <v>7189.7586453201966</v>
      </c>
      <c r="J234" s="100">
        <f t="shared" si="12"/>
        <v>1</v>
      </c>
      <c r="K234" s="37"/>
      <c r="L234" s="26"/>
      <c r="M234" s="26"/>
      <c r="N234" s="26"/>
      <c r="O234" s="95">
        <v>78638.400000000009</v>
      </c>
      <c r="P234" s="97">
        <f t="shared" si="5"/>
        <v>78638.400000000009</v>
      </c>
    </row>
    <row r="235" spans="3:16" s="193" customFormat="1">
      <c r="C235" s="26"/>
      <c r="D235" s="115" t="s">
        <v>435</v>
      </c>
      <c r="E235" s="34">
        <v>46935</v>
      </c>
      <c r="F235" s="92" t="str">
        <f t="shared" si="14"/>
        <v>2028-29</v>
      </c>
      <c r="G235" s="199"/>
      <c r="H235" s="117" t="str">
        <f t="shared" si="13"/>
        <v>Mamre Rd</v>
      </c>
      <c r="I235" s="26">
        <f t="shared" si="13"/>
        <v>7189.7586453201966</v>
      </c>
      <c r="J235" s="100">
        <f t="shared" si="12"/>
        <v>1</v>
      </c>
      <c r="K235" s="37"/>
      <c r="L235" s="26"/>
      <c r="M235" s="26"/>
      <c r="N235" s="26"/>
      <c r="O235" s="95">
        <v>78638.400000000009</v>
      </c>
      <c r="P235" s="97">
        <f t="shared" si="5"/>
        <v>78638.400000000009</v>
      </c>
    </row>
    <row r="236" spans="3:16" s="193" customFormat="1">
      <c r="C236" s="26"/>
      <c r="D236" s="115" t="s">
        <v>436</v>
      </c>
      <c r="E236" s="34">
        <v>46935</v>
      </c>
      <c r="F236" s="92" t="str">
        <f t="shared" si="14"/>
        <v>2028-29</v>
      </c>
      <c r="G236" s="199"/>
      <c r="H236" s="117" t="str">
        <f t="shared" si="13"/>
        <v>Mamre Rd</v>
      </c>
      <c r="I236" s="26">
        <f t="shared" si="13"/>
        <v>7189.7586453201966</v>
      </c>
      <c r="J236" s="100">
        <f t="shared" si="12"/>
        <v>1</v>
      </c>
      <c r="K236" s="37"/>
      <c r="L236" s="26"/>
      <c r="M236" s="26"/>
      <c r="N236" s="26"/>
      <c r="O236" s="95">
        <v>144678.09248575621</v>
      </c>
      <c r="P236" s="97">
        <f t="shared" si="5"/>
        <v>144678.09248575621</v>
      </c>
    </row>
    <row r="237" spans="3:16" s="193" customFormat="1">
      <c r="C237" s="26"/>
      <c r="D237" s="115" t="s">
        <v>437</v>
      </c>
      <c r="E237" s="34">
        <v>46935</v>
      </c>
      <c r="F237" s="92" t="str">
        <f t="shared" si="14"/>
        <v>2028-29</v>
      </c>
      <c r="G237" s="199"/>
      <c r="H237" s="117" t="str">
        <f t="shared" si="13"/>
        <v>Mamre Rd</v>
      </c>
      <c r="I237" s="26">
        <f t="shared" si="13"/>
        <v>7189.7586453201966</v>
      </c>
      <c r="J237" s="100">
        <f t="shared" si="12"/>
        <v>1</v>
      </c>
      <c r="K237" s="37"/>
      <c r="L237" s="26"/>
      <c r="M237" s="26"/>
      <c r="N237" s="26"/>
      <c r="O237" s="95">
        <v>1181000.2359983989</v>
      </c>
      <c r="P237" s="97">
        <f t="shared" si="5"/>
        <v>1181000.2359983989</v>
      </c>
    </row>
    <row r="238" spans="3:16" s="193" customFormat="1">
      <c r="C238" s="26"/>
      <c r="D238" s="115" t="s">
        <v>438</v>
      </c>
      <c r="E238" s="34">
        <v>46935</v>
      </c>
      <c r="F238" s="92" t="str">
        <f t="shared" si="14"/>
        <v>2028-29</v>
      </c>
      <c r="G238" s="199"/>
      <c r="H238" s="117" t="str">
        <f t="shared" si="13"/>
        <v>Mamre Rd</v>
      </c>
      <c r="I238" s="26">
        <f t="shared" si="13"/>
        <v>7189.7586453201966</v>
      </c>
      <c r="J238" s="100">
        <f t="shared" si="12"/>
        <v>1</v>
      </c>
      <c r="K238" s="37"/>
      <c r="L238" s="26"/>
      <c r="M238" s="26"/>
      <c r="N238" s="26"/>
      <c r="O238" s="95">
        <v>516455.9968989878</v>
      </c>
      <c r="P238" s="97">
        <f t="shared" si="5"/>
        <v>516455.9968989878</v>
      </c>
    </row>
    <row r="239" spans="3:16" s="193" customFormat="1">
      <c r="C239" s="26"/>
      <c r="D239" s="115" t="s">
        <v>439</v>
      </c>
      <c r="E239" s="34">
        <v>46935</v>
      </c>
      <c r="F239" s="92" t="str">
        <f t="shared" si="14"/>
        <v>2028-29</v>
      </c>
      <c r="G239" s="199"/>
      <c r="H239" s="117" t="str">
        <f t="shared" si="13"/>
        <v>Mamre Rd</v>
      </c>
      <c r="I239" s="26">
        <f t="shared" si="13"/>
        <v>7189.7586453201966</v>
      </c>
      <c r="J239" s="100">
        <f t="shared" si="12"/>
        <v>1</v>
      </c>
      <c r="K239" s="37"/>
      <c r="L239" s="26"/>
      <c r="M239" s="26"/>
      <c r="N239" s="26"/>
      <c r="O239" s="95">
        <v>2268967.7698865705</v>
      </c>
      <c r="P239" s="97">
        <f t="shared" si="5"/>
        <v>2268967.7698865705</v>
      </c>
    </row>
    <row r="240" spans="3:16" s="193" customFormat="1">
      <c r="C240" s="26"/>
      <c r="D240" s="115" t="s">
        <v>440</v>
      </c>
      <c r="E240" s="34">
        <v>46935</v>
      </c>
      <c r="F240" s="92" t="str">
        <f t="shared" si="14"/>
        <v>2028-29</v>
      </c>
      <c r="G240" s="199"/>
      <c r="H240" s="117" t="str">
        <f t="shared" si="13"/>
        <v>Mamre Rd</v>
      </c>
      <c r="I240" s="26">
        <f t="shared" si="13"/>
        <v>7189.7586453201966</v>
      </c>
      <c r="J240" s="100">
        <f t="shared" si="12"/>
        <v>1</v>
      </c>
      <c r="K240" s="37"/>
      <c r="L240" s="26"/>
      <c r="M240" s="26"/>
      <c r="N240" s="26"/>
      <c r="O240" s="95">
        <v>31397.155487360298</v>
      </c>
      <c r="P240" s="97">
        <f t="shared" si="5"/>
        <v>31397.155487360298</v>
      </c>
    </row>
    <row r="241" spans="3:16" s="193" customFormat="1">
      <c r="C241" s="26"/>
      <c r="D241" s="115" t="s">
        <v>441</v>
      </c>
      <c r="E241" s="34">
        <v>46935</v>
      </c>
      <c r="F241" s="92" t="str">
        <f t="shared" si="14"/>
        <v>2028-29</v>
      </c>
      <c r="G241" s="199"/>
      <c r="H241" s="117" t="str">
        <f t="shared" si="13"/>
        <v>Mamre Rd</v>
      </c>
      <c r="I241" s="26">
        <f t="shared" si="13"/>
        <v>7189.7586453201966</v>
      </c>
      <c r="J241" s="100">
        <f t="shared" si="12"/>
        <v>1</v>
      </c>
      <c r="K241" s="37"/>
      <c r="L241" s="26"/>
      <c r="M241" s="26"/>
      <c r="N241" s="26"/>
      <c r="O241" s="95">
        <v>58608.023576405882</v>
      </c>
      <c r="P241" s="97">
        <f t="shared" si="5"/>
        <v>58608.023576405882</v>
      </c>
    </row>
    <row r="242" spans="3:16" s="193" customFormat="1">
      <c r="C242" s="26"/>
      <c r="D242" s="115" t="s">
        <v>442</v>
      </c>
      <c r="E242" s="34">
        <v>46935</v>
      </c>
      <c r="F242" s="92" t="str">
        <f t="shared" si="14"/>
        <v>2028-29</v>
      </c>
      <c r="G242" s="199"/>
      <c r="H242" s="117" t="str">
        <f t="shared" si="13"/>
        <v>Mamre Rd</v>
      </c>
      <c r="I242" s="26">
        <f t="shared" si="13"/>
        <v>7189.7586453201966</v>
      </c>
      <c r="J242" s="100">
        <f t="shared" si="12"/>
        <v>1</v>
      </c>
      <c r="K242" s="37"/>
      <c r="L242" s="26"/>
      <c r="M242" s="26"/>
      <c r="N242" s="26"/>
      <c r="O242" s="95">
        <v>2187130.7075349651</v>
      </c>
      <c r="P242" s="97">
        <f t="shared" si="5"/>
        <v>2187130.7075349651</v>
      </c>
    </row>
    <row r="243" spans="3:16" s="193" customFormat="1">
      <c r="C243" s="26"/>
      <c r="D243" s="115" t="s">
        <v>443</v>
      </c>
      <c r="E243" s="34">
        <v>46935</v>
      </c>
      <c r="F243" s="92" t="str">
        <f t="shared" si="14"/>
        <v>2028-29</v>
      </c>
      <c r="G243" s="199"/>
      <c r="H243" s="117" t="str">
        <f t="shared" si="13"/>
        <v>Mamre Rd</v>
      </c>
      <c r="I243" s="26">
        <f t="shared" si="13"/>
        <v>7189.7586453201966</v>
      </c>
      <c r="J243" s="100">
        <f t="shared" si="12"/>
        <v>1</v>
      </c>
      <c r="K243" s="37"/>
      <c r="L243" s="26"/>
      <c r="M243" s="26"/>
      <c r="N243" s="26"/>
      <c r="O243" s="95">
        <v>1842998.216543036</v>
      </c>
      <c r="P243" s="97">
        <f t="shared" si="5"/>
        <v>1842998.216543036</v>
      </c>
    </row>
    <row r="244" spans="3:16" s="193" customFormat="1">
      <c r="C244" s="26"/>
      <c r="D244" s="115" t="s">
        <v>444</v>
      </c>
      <c r="E244" s="34">
        <v>46935</v>
      </c>
      <c r="F244" s="92" t="str">
        <f t="shared" si="14"/>
        <v>2028-29</v>
      </c>
      <c r="G244" s="199"/>
      <c r="H244" s="117" t="str">
        <f t="shared" si="13"/>
        <v>Mamre Rd</v>
      </c>
      <c r="I244" s="26">
        <f t="shared" si="13"/>
        <v>7189.7586453201966</v>
      </c>
      <c r="J244" s="100">
        <f t="shared" si="12"/>
        <v>1</v>
      </c>
      <c r="K244" s="37"/>
      <c r="L244" s="26"/>
      <c r="M244" s="26"/>
      <c r="N244" s="26"/>
      <c r="O244" s="95">
        <v>1244359.801796481</v>
      </c>
      <c r="P244" s="97">
        <f t="shared" si="5"/>
        <v>1244359.801796481</v>
      </c>
    </row>
    <row r="245" spans="3:16" s="193" customFormat="1">
      <c r="C245" s="26"/>
      <c r="D245" s="115" t="s">
        <v>445</v>
      </c>
      <c r="E245" s="34">
        <v>46935</v>
      </c>
      <c r="F245" s="92" t="str">
        <f t="shared" si="14"/>
        <v>2028-29</v>
      </c>
      <c r="G245" s="199"/>
      <c r="H245" s="117" t="str">
        <f t="shared" si="13"/>
        <v>Mamre Rd</v>
      </c>
      <c r="I245" s="26">
        <f t="shared" si="13"/>
        <v>7189.7586453201966</v>
      </c>
      <c r="J245" s="100">
        <f t="shared" si="12"/>
        <v>1</v>
      </c>
      <c r="K245" s="37"/>
      <c r="L245" s="26"/>
      <c r="M245" s="26"/>
      <c r="N245" s="26"/>
      <c r="O245" s="95">
        <v>1013007.4537637891</v>
      </c>
      <c r="P245" s="97">
        <f t="shared" si="5"/>
        <v>1013007.4537637891</v>
      </c>
    </row>
    <row r="246" spans="3:16" s="193" customFormat="1">
      <c r="C246" s="26"/>
      <c r="D246" s="115" t="s">
        <v>446</v>
      </c>
      <c r="E246" s="34">
        <v>46935</v>
      </c>
      <c r="F246" s="92" t="str">
        <f t="shared" si="14"/>
        <v>2028-29</v>
      </c>
      <c r="G246" s="199"/>
      <c r="H246" s="117" t="str">
        <f t="shared" si="13"/>
        <v>Mamre Rd</v>
      </c>
      <c r="I246" s="26">
        <f t="shared" si="13"/>
        <v>7189.7586453201966</v>
      </c>
      <c r="J246" s="100">
        <f t="shared" si="12"/>
        <v>1</v>
      </c>
      <c r="K246" s="37"/>
      <c r="L246" s="26"/>
      <c r="M246" s="26"/>
      <c r="N246" s="26"/>
      <c r="O246" s="95">
        <v>939759.93825774628</v>
      </c>
      <c r="P246" s="97">
        <f t="shared" si="5"/>
        <v>939759.93825774628</v>
      </c>
    </row>
    <row r="247" spans="3:16" s="193" customFormat="1">
      <c r="C247" s="26"/>
      <c r="D247" s="115" t="s">
        <v>447</v>
      </c>
      <c r="E247" s="34">
        <v>46935</v>
      </c>
      <c r="F247" s="92" t="str">
        <f t="shared" si="14"/>
        <v>2028-29</v>
      </c>
      <c r="G247" s="199"/>
      <c r="H247" s="117" t="str">
        <f t="shared" si="13"/>
        <v>Mamre Rd</v>
      </c>
      <c r="I247" s="26">
        <f t="shared" si="13"/>
        <v>7189.7586453201966</v>
      </c>
      <c r="J247" s="100">
        <f t="shared" si="12"/>
        <v>1</v>
      </c>
      <c r="K247" s="37"/>
      <c r="L247" s="26"/>
      <c r="M247" s="26"/>
      <c r="N247" s="26"/>
      <c r="O247" s="95">
        <v>710727.71643610054</v>
      </c>
      <c r="P247" s="97">
        <f t="shared" si="5"/>
        <v>710727.71643610054</v>
      </c>
    </row>
    <row r="248" spans="3:16" s="193" customFormat="1">
      <c r="C248" s="26"/>
      <c r="D248" s="115" t="s">
        <v>448</v>
      </c>
      <c r="E248" s="34">
        <v>46935</v>
      </c>
      <c r="F248" s="92" t="str">
        <f t="shared" si="14"/>
        <v>2028-29</v>
      </c>
      <c r="G248" s="199"/>
      <c r="H248" s="117" t="str">
        <f t="shared" si="13"/>
        <v>Mamre Rd</v>
      </c>
      <c r="I248" s="26">
        <f t="shared" si="13"/>
        <v>7189.7586453201966</v>
      </c>
      <c r="J248" s="100">
        <f t="shared" si="12"/>
        <v>1</v>
      </c>
      <c r="K248" s="37"/>
      <c r="L248" s="26"/>
      <c r="M248" s="26"/>
      <c r="N248" s="26"/>
      <c r="O248" s="95">
        <v>1041180.3275602127</v>
      </c>
      <c r="P248" s="97">
        <f t="shared" si="5"/>
        <v>1041180.3275602127</v>
      </c>
    </row>
    <row r="249" spans="3:16" s="193" customFormat="1">
      <c r="C249" s="26"/>
      <c r="D249" s="115" t="s">
        <v>449</v>
      </c>
      <c r="E249" s="34">
        <v>46935</v>
      </c>
      <c r="F249" s="92" t="str">
        <f t="shared" si="14"/>
        <v>2028-29</v>
      </c>
      <c r="G249" s="199"/>
      <c r="H249" s="117" t="str">
        <f t="shared" si="13"/>
        <v>Mamre Rd</v>
      </c>
      <c r="I249" s="26">
        <f t="shared" si="13"/>
        <v>7189.7586453201966</v>
      </c>
      <c r="J249" s="100">
        <f t="shared" si="12"/>
        <v>1</v>
      </c>
      <c r="K249" s="37"/>
      <c r="L249" s="26"/>
      <c r="M249" s="26"/>
      <c r="N249" s="26"/>
      <c r="O249" s="95">
        <v>1354816.3949065222</v>
      </c>
      <c r="P249" s="97">
        <f t="shared" si="5"/>
        <v>1354816.3949065222</v>
      </c>
    </row>
    <row r="250" spans="3:16" s="193" customFormat="1">
      <c r="C250" s="26"/>
      <c r="D250" s="115" t="s">
        <v>450</v>
      </c>
      <c r="E250" s="34">
        <v>46935</v>
      </c>
      <c r="F250" s="92" t="str">
        <f t="shared" si="14"/>
        <v>2028-29</v>
      </c>
      <c r="G250" s="199"/>
      <c r="H250" s="117" t="str">
        <f t="shared" si="13"/>
        <v>Mamre Rd</v>
      </c>
      <c r="I250" s="26">
        <f t="shared" si="13"/>
        <v>7189.7586453201966</v>
      </c>
      <c r="J250" s="100">
        <f t="shared" si="12"/>
        <v>1</v>
      </c>
      <c r="K250" s="37"/>
      <c r="L250" s="26"/>
      <c r="M250" s="26"/>
      <c r="N250" s="26"/>
      <c r="O250" s="95">
        <v>1095410.8250651679</v>
      </c>
      <c r="P250" s="97">
        <f t="shared" si="5"/>
        <v>1095410.8250651679</v>
      </c>
    </row>
    <row r="251" spans="3:16" s="193" customFormat="1">
      <c r="C251" s="26"/>
      <c r="D251" s="115" t="s">
        <v>451</v>
      </c>
      <c r="E251" s="34">
        <v>46935</v>
      </c>
      <c r="F251" s="92" t="str">
        <f t="shared" si="14"/>
        <v>2028-29</v>
      </c>
      <c r="G251" s="199"/>
      <c r="H251" s="117" t="str">
        <f t="shared" si="13"/>
        <v>Mamre Rd</v>
      </c>
      <c r="I251" s="26">
        <f t="shared" si="13"/>
        <v>7189.7586453201966</v>
      </c>
      <c r="J251" s="100">
        <f t="shared" si="12"/>
        <v>1</v>
      </c>
      <c r="K251" s="37"/>
      <c r="L251" s="26"/>
      <c r="M251" s="26"/>
      <c r="N251" s="26"/>
      <c r="O251" s="95">
        <v>349261.42248454626</v>
      </c>
      <c r="P251" s="97">
        <f t="shared" si="5"/>
        <v>349261.42248454626</v>
      </c>
    </row>
    <row r="252" spans="3:16" s="193" customFormat="1">
      <c r="C252" s="26"/>
      <c r="D252" s="115" t="s">
        <v>452</v>
      </c>
      <c r="E252" s="34">
        <v>46935</v>
      </c>
      <c r="F252" s="92" t="str">
        <f t="shared" si="14"/>
        <v>2028-29</v>
      </c>
      <c r="G252" s="199"/>
      <c r="H252" s="117" t="str">
        <f t="shared" si="13"/>
        <v>Mamre Rd</v>
      </c>
      <c r="I252" s="26">
        <f t="shared" si="13"/>
        <v>7189.7586453201966</v>
      </c>
      <c r="J252" s="100">
        <f t="shared" si="12"/>
        <v>1</v>
      </c>
      <c r="K252" s="37"/>
      <c r="L252" s="26"/>
      <c r="M252" s="26"/>
      <c r="N252" s="26"/>
      <c r="O252" s="95">
        <v>482362.41051033419</v>
      </c>
      <c r="P252" s="97">
        <f t="shared" si="5"/>
        <v>482362.41051033419</v>
      </c>
    </row>
    <row r="253" spans="3:16" s="193" customFormat="1">
      <c r="C253" s="26"/>
      <c r="D253" s="115" t="s">
        <v>453</v>
      </c>
      <c r="E253" s="34">
        <v>46935</v>
      </c>
      <c r="F253" s="92" t="str">
        <f t="shared" si="14"/>
        <v>2028-29</v>
      </c>
      <c r="G253" s="199"/>
      <c r="H253" s="117" t="str">
        <f t="shared" si="13"/>
        <v>Mamre Rd</v>
      </c>
      <c r="I253" s="26">
        <f t="shared" si="13"/>
        <v>7189.7586453201966</v>
      </c>
      <c r="J253" s="100">
        <f t="shared" si="12"/>
        <v>1</v>
      </c>
      <c r="K253" s="37"/>
      <c r="L253" s="26"/>
      <c r="M253" s="26"/>
      <c r="N253" s="26"/>
      <c r="O253" s="95">
        <v>1279698.2971287547</v>
      </c>
      <c r="P253" s="97">
        <f t="shared" si="5"/>
        <v>1279698.2971287547</v>
      </c>
    </row>
    <row r="254" spans="3:16" s="193" customFormat="1">
      <c r="C254" s="26"/>
      <c r="D254" s="115" t="s">
        <v>454</v>
      </c>
      <c r="E254" s="34">
        <v>46935</v>
      </c>
      <c r="F254" s="92" t="str">
        <f t="shared" si="14"/>
        <v>2028-29</v>
      </c>
      <c r="G254" s="199"/>
      <c r="H254" s="117" t="str">
        <f t="shared" si="13"/>
        <v>Mamre Rd</v>
      </c>
      <c r="I254" s="26">
        <f t="shared" si="13"/>
        <v>7189.7586453201966</v>
      </c>
      <c r="J254" s="100">
        <f t="shared" si="12"/>
        <v>1</v>
      </c>
      <c r="K254" s="37"/>
      <c r="L254" s="26"/>
      <c r="M254" s="26"/>
      <c r="N254" s="26"/>
      <c r="O254" s="95">
        <v>456384.9809267018</v>
      </c>
      <c r="P254" s="97">
        <f t="shared" si="5"/>
        <v>456384.9809267018</v>
      </c>
    </row>
    <row r="255" spans="3:16" s="193" customFormat="1">
      <c r="C255" s="26"/>
      <c r="D255" s="115" t="s">
        <v>455</v>
      </c>
      <c r="E255" s="34">
        <v>46935</v>
      </c>
      <c r="F255" s="92" t="str">
        <f t="shared" si="14"/>
        <v>2028-29</v>
      </c>
      <c r="G255" s="199"/>
      <c r="H255" s="117" t="str">
        <f t="shared" si="13"/>
        <v>Mamre Rd</v>
      </c>
      <c r="I255" s="26">
        <f t="shared" si="13"/>
        <v>7189.7586453201966</v>
      </c>
      <c r="J255" s="100">
        <f t="shared" si="12"/>
        <v>1</v>
      </c>
      <c r="K255" s="37"/>
      <c r="L255" s="26"/>
      <c r="M255" s="26"/>
      <c r="N255" s="26"/>
      <c r="O255" s="95">
        <v>903967.93898602494</v>
      </c>
      <c r="P255" s="97">
        <f t="shared" si="5"/>
        <v>903967.93898602494</v>
      </c>
    </row>
    <row r="256" spans="3:16" s="193" customFormat="1">
      <c r="C256" s="26"/>
      <c r="D256" s="115" t="s">
        <v>456</v>
      </c>
      <c r="E256" s="34">
        <v>46935</v>
      </c>
      <c r="F256" s="92" t="str">
        <f t="shared" si="14"/>
        <v>2028-29</v>
      </c>
      <c r="G256" s="199"/>
      <c r="H256" s="117" t="str">
        <f t="shared" si="13"/>
        <v>Mamre Rd</v>
      </c>
      <c r="I256" s="26">
        <f t="shared" si="13"/>
        <v>7189.7586453201966</v>
      </c>
      <c r="J256" s="100">
        <f t="shared" si="12"/>
        <v>1</v>
      </c>
      <c r="K256" s="37"/>
      <c r="L256" s="26"/>
      <c r="M256" s="26"/>
      <c r="N256" s="26"/>
      <c r="O256" s="95">
        <v>1098493.8508945541</v>
      </c>
      <c r="P256" s="97">
        <f t="shared" si="5"/>
        <v>1098493.8508945541</v>
      </c>
    </row>
    <row r="257" spans="3:17" s="193" customFormat="1">
      <c r="C257" s="26"/>
      <c r="D257" s="115" t="s">
        <v>457</v>
      </c>
      <c r="E257" s="34">
        <v>46935</v>
      </c>
      <c r="F257" s="92" t="str">
        <f t="shared" si="14"/>
        <v>2028-29</v>
      </c>
      <c r="G257" s="199"/>
      <c r="H257" s="117" t="str">
        <f t="shared" si="13"/>
        <v>Mamre Rd</v>
      </c>
      <c r="I257" s="26">
        <f t="shared" si="13"/>
        <v>7189.7586453201966</v>
      </c>
      <c r="J257" s="100">
        <f t="shared" si="12"/>
        <v>1</v>
      </c>
      <c r="K257" s="37"/>
      <c r="L257" s="26"/>
      <c r="M257" s="26"/>
      <c r="N257" s="26"/>
      <c r="O257" s="95">
        <v>1279698.2971287547</v>
      </c>
      <c r="P257" s="97">
        <f t="shared" si="5"/>
        <v>1279698.2971287547</v>
      </c>
      <c r="Q257" s="199"/>
    </row>
    <row r="258" spans="3:17" s="193" customFormat="1">
      <c r="C258" s="26"/>
      <c r="D258" s="115" t="s">
        <v>458</v>
      </c>
      <c r="E258" s="34">
        <v>46935</v>
      </c>
      <c r="F258" s="92" t="str">
        <f t="shared" si="14"/>
        <v>2028-29</v>
      </c>
      <c r="G258" s="199"/>
      <c r="H258" s="117" t="str">
        <f t="shared" si="13"/>
        <v>Mamre Rd</v>
      </c>
      <c r="I258" s="26">
        <f t="shared" si="13"/>
        <v>7189.7586453201966</v>
      </c>
      <c r="J258" s="100">
        <f t="shared" si="12"/>
        <v>1</v>
      </c>
      <c r="K258" s="37"/>
      <c r="L258" s="26"/>
      <c r="M258" s="26"/>
      <c r="N258" s="26"/>
      <c r="O258" s="95">
        <v>420659.98255190987</v>
      </c>
      <c r="P258" s="97">
        <f t="shared" si="5"/>
        <v>420659.98255190987</v>
      </c>
      <c r="Q258" s="199"/>
    </row>
    <row r="259" spans="3:17" s="193" customFormat="1">
      <c r="C259" s="26"/>
      <c r="D259" s="115" t="s">
        <v>459</v>
      </c>
      <c r="E259" s="34">
        <v>46935</v>
      </c>
      <c r="F259" s="92" t="str">
        <f t="shared" si="14"/>
        <v>2028-29</v>
      </c>
      <c r="G259" s="199"/>
      <c r="H259" s="117" t="str">
        <f t="shared" si="13"/>
        <v>Mamre Rd</v>
      </c>
      <c r="I259" s="26">
        <f t="shared" si="13"/>
        <v>7189.7586453201966</v>
      </c>
      <c r="J259" s="100">
        <f t="shared" si="12"/>
        <v>1</v>
      </c>
      <c r="K259" s="37"/>
      <c r="L259" s="26"/>
      <c r="M259" s="26"/>
      <c r="N259" s="26"/>
      <c r="O259" s="95">
        <v>2943861.0280454252</v>
      </c>
      <c r="P259" s="97">
        <f t="shared" si="5"/>
        <v>2943861.0280454252</v>
      </c>
      <c r="Q259" s="199"/>
    </row>
    <row r="260" spans="3:17" s="193" customFormat="1">
      <c r="C260" s="26"/>
      <c r="D260" s="115" t="s">
        <v>460</v>
      </c>
      <c r="E260" s="34">
        <v>46935</v>
      </c>
      <c r="F260" s="92" t="str">
        <f t="shared" si="14"/>
        <v>2028-29</v>
      </c>
      <c r="G260" s="199"/>
      <c r="H260" s="117" t="str">
        <f t="shared" si="13"/>
        <v>Mamre Rd</v>
      </c>
      <c r="I260" s="26">
        <f t="shared" si="13"/>
        <v>7189.7586453201966</v>
      </c>
      <c r="J260" s="100">
        <f t="shared" si="12"/>
        <v>1</v>
      </c>
      <c r="K260" s="37"/>
      <c r="L260" s="26"/>
      <c r="M260" s="26"/>
      <c r="N260" s="26"/>
      <c r="O260" s="95">
        <v>289535.10319333232</v>
      </c>
      <c r="P260" s="97">
        <f t="shared" si="5"/>
        <v>289535.10319333232</v>
      </c>
      <c r="Q260" s="199"/>
    </row>
    <row r="261" spans="3:17" s="193" customFormat="1">
      <c r="C261" s="26"/>
      <c r="D261" s="115" t="s">
        <v>461</v>
      </c>
      <c r="E261" s="34">
        <v>46935</v>
      </c>
      <c r="F261" s="92" t="str">
        <f t="shared" si="14"/>
        <v>2028-29</v>
      </c>
      <c r="G261" s="199"/>
      <c r="H261" s="117" t="str">
        <f t="shared" si="13"/>
        <v>Mamre Rd</v>
      </c>
      <c r="I261" s="26">
        <f t="shared" si="13"/>
        <v>7189.7586453201966</v>
      </c>
      <c r="J261" s="100">
        <f t="shared" si="12"/>
        <v>1</v>
      </c>
      <c r="K261" s="37"/>
      <c r="L261" s="26"/>
      <c r="M261" s="26"/>
      <c r="N261" s="26"/>
      <c r="O261" s="95">
        <v>108093.10519217742</v>
      </c>
      <c r="P261" s="97">
        <f t="shared" si="5"/>
        <v>108093.10519217742</v>
      </c>
      <c r="Q261" s="199"/>
    </row>
    <row r="262" spans="3:17" s="193" customFormat="1">
      <c r="C262" s="26"/>
      <c r="D262" s="115" t="s">
        <v>462</v>
      </c>
      <c r="E262" s="34">
        <v>46935</v>
      </c>
      <c r="F262" s="92" t="str">
        <f t="shared" si="14"/>
        <v>2028-29</v>
      </c>
      <c r="G262" s="199"/>
      <c r="H262" s="117" t="str">
        <f t="shared" si="13"/>
        <v>Mamre Rd</v>
      </c>
      <c r="I262" s="26">
        <f t="shared" si="13"/>
        <v>7189.7586453201966</v>
      </c>
      <c r="J262" s="100">
        <f t="shared" si="12"/>
        <v>1</v>
      </c>
      <c r="K262" s="37"/>
      <c r="L262" s="26"/>
      <c r="M262" s="26"/>
      <c r="N262" s="26"/>
      <c r="O262" s="95">
        <v>245139.72070368813</v>
      </c>
      <c r="P262" s="97">
        <f t="shared" si="5"/>
        <v>245139.72070368813</v>
      </c>
      <c r="Q262" s="199"/>
    </row>
    <row r="263" spans="3:17" s="193" customFormat="1" ht="24">
      <c r="C263" s="26"/>
      <c r="D263" s="115" t="s">
        <v>463</v>
      </c>
      <c r="E263" s="34">
        <v>46935</v>
      </c>
      <c r="F263" s="92" t="str">
        <f t="shared" si="14"/>
        <v>2028-29</v>
      </c>
      <c r="G263" s="199"/>
      <c r="H263" s="117" t="str">
        <f t="shared" si="13"/>
        <v>Mamre Rd</v>
      </c>
      <c r="I263" s="26">
        <f t="shared" si="13"/>
        <v>7189.7586453201966</v>
      </c>
      <c r="J263" s="100">
        <f t="shared" si="12"/>
        <v>1</v>
      </c>
      <c r="K263" s="37"/>
      <c r="L263" s="26"/>
      <c r="M263" s="26"/>
      <c r="N263" s="26"/>
      <c r="O263" s="95">
        <v>5147019.203851358</v>
      </c>
      <c r="P263" s="97">
        <f t="shared" si="5"/>
        <v>5147019.203851358</v>
      </c>
      <c r="Q263" s="199"/>
    </row>
    <row r="264" spans="3:17" s="193" customFormat="1">
      <c r="C264" s="26"/>
      <c r="D264" s="115" t="s">
        <v>464</v>
      </c>
      <c r="E264" s="34">
        <v>46935</v>
      </c>
      <c r="F264" s="92" t="str">
        <f t="shared" si="14"/>
        <v>2028-29</v>
      </c>
      <c r="G264" s="199"/>
      <c r="H264" s="117" t="str">
        <f t="shared" si="13"/>
        <v>Mamre Rd</v>
      </c>
      <c r="I264" s="26">
        <f t="shared" si="13"/>
        <v>7189.7586453201966</v>
      </c>
      <c r="J264" s="100">
        <f t="shared" si="12"/>
        <v>1</v>
      </c>
      <c r="K264" s="37"/>
      <c r="L264" s="26"/>
      <c r="M264" s="26"/>
      <c r="N264" s="26"/>
      <c r="O264" s="95">
        <v>1698734.8783668389</v>
      </c>
      <c r="P264" s="97">
        <f t="shared" si="5"/>
        <v>1698734.8783668389</v>
      </c>
      <c r="Q264" s="199"/>
    </row>
    <row r="265" spans="3:17" s="193" customFormat="1">
      <c r="C265" s="26"/>
      <c r="D265" s="115" t="s">
        <v>465</v>
      </c>
      <c r="E265" s="34">
        <v>46935</v>
      </c>
      <c r="F265" s="92" t="str">
        <f t="shared" si="14"/>
        <v>2028-29</v>
      </c>
      <c r="G265" s="199"/>
      <c r="H265" s="117" t="str">
        <f t="shared" si="13"/>
        <v>Mamre Rd</v>
      </c>
      <c r="I265" s="26">
        <f t="shared" si="13"/>
        <v>7189.7586453201966</v>
      </c>
      <c r="J265" s="100">
        <f t="shared" si="12"/>
        <v>1</v>
      </c>
      <c r="K265" s="37"/>
      <c r="L265" s="26"/>
      <c r="M265" s="26"/>
      <c r="N265" s="26"/>
      <c r="O265" s="95">
        <v>146171.98987055599</v>
      </c>
      <c r="P265" s="97">
        <f t="shared" si="5"/>
        <v>146171.98987055599</v>
      </c>
      <c r="Q265" s="199"/>
    </row>
    <row r="266" spans="3:17" s="193" customFormat="1">
      <c r="C266" s="26"/>
      <c r="D266" s="115" t="s">
        <v>466</v>
      </c>
      <c r="E266" s="34">
        <v>46935</v>
      </c>
      <c r="F266" s="92" t="str">
        <f t="shared" si="14"/>
        <v>2028-29</v>
      </c>
      <c r="G266" s="199"/>
      <c r="H266" s="117" t="str">
        <f t="shared" si="13"/>
        <v>Mamre Rd</v>
      </c>
      <c r="I266" s="26">
        <f t="shared" si="13"/>
        <v>7189.7586453201966</v>
      </c>
      <c r="J266" s="100">
        <f t="shared" si="12"/>
        <v>1</v>
      </c>
      <c r="K266" s="37"/>
      <c r="L266" s="26"/>
      <c r="M266" s="26"/>
      <c r="N266" s="26"/>
      <c r="O266" s="95">
        <v>65173.965682014859</v>
      </c>
      <c r="P266" s="97">
        <f t="shared" si="5"/>
        <v>65173.965682014859</v>
      </c>
      <c r="Q266" s="199"/>
    </row>
    <row r="267" spans="3:17" s="193" customFormat="1">
      <c r="C267" s="26"/>
      <c r="D267" s="115" t="s">
        <v>467</v>
      </c>
      <c r="E267" s="34">
        <v>46935</v>
      </c>
      <c r="F267" s="92" t="str">
        <f t="shared" si="14"/>
        <v>2028-29</v>
      </c>
      <c r="G267" s="199"/>
      <c r="H267" s="117" t="str">
        <f t="shared" si="13"/>
        <v>Mamre Rd</v>
      </c>
      <c r="I267" s="26">
        <f t="shared" si="13"/>
        <v>7189.7586453201966</v>
      </c>
      <c r="J267" s="100">
        <f>J266</f>
        <v>1</v>
      </c>
      <c r="K267" s="37"/>
      <c r="L267" s="26"/>
      <c r="M267" s="26"/>
      <c r="N267" s="26"/>
      <c r="O267" s="95">
        <v>12156705.082847245</v>
      </c>
      <c r="P267" s="97">
        <f t="shared" si="5"/>
        <v>12156705.082847245</v>
      </c>
      <c r="Q267" s="199"/>
    </row>
    <row r="268" spans="3:17" s="193" customFormat="1">
      <c r="C268" s="26"/>
      <c r="D268" s="115" t="s">
        <v>468</v>
      </c>
      <c r="E268" s="34">
        <v>46935</v>
      </c>
      <c r="F268" s="92" t="str">
        <f t="shared" si="14"/>
        <v>2028-29</v>
      </c>
      <c r="G268" s="199"/>
      <c r="H268" s="117" t="str">
        <f t="shared" si="13"/>
        <v>Mamre Rd</v>
      </c>
      <c r="I268" s="26">
        <f t="shared" si="13"/>
        <v>7189.7586453201966</v>
      </c>
      <c r="J268" s="100">
        <f t="shared" si="12"/>
        <v>1</v>
      </c>
      <c r="K268" s="37"/>
      <c r="L268" s="26"/>
      <c r="M268" s="26"/>
      <c r="N268" s="26"/>
      <c r="O268" s="95">
        <v>23426.852168087498</v>
      </c>
      <c r="P268" s="97">
        <f t="shared" si="5"/>
        <v>23426.852168087498</v>
      </c>
      <c r="Q268" s="199"/>
    </row>
    <row r="269" spans="3:17" s="193" customFormat="1">
      <c r="C269" s="26"/>
      <c r="D269" s="115" t="s">
        <v>469</v>
      </c>
      <c r="E269" s="34">
        <v>47300</v>
      </c>
      <c r="F269" s="92" t="str">
        <f t="shared" si="14"/>
        <v>2029-30</v>
      </c>
      <c r="G269" s="199"/>
      <c r="H269" s="117" t="str">
        <f t="shared" si="13"/>
        <v>Mamre Rd</v>
      </c>
      <c r="I269" s="26">
        <f t="shared" si="13"/>
        <v>7189.7586453201966</v>
      </c>
      <c r="J269" s="100">
        <f t="shared" si="12"/>
        <v>1</v>
      </c>
      <c r="K269" s="37"/>
      <c r="L269" s="26"/>
      <c r="M269" s="26"/>
      <c r="N269" s="26"/>
      <c r="O269" s="95">
        <v>146441.54539705164</v>
      </c>
      <c r="P269" s="97">
        <f t="shared" si="5"/>
        <v>146441.54539705164</v>
      </c>
      <c r="Q269" s="199"/>
    </row>
    <row r="270" spans="3:17" s="193" customFormat="1">
      <c r="C270" s="26"/>
      <c r="D270" s="115" t="s">
        <v>470</v>
      </c>
      <c r="E270" s="34">
        <v>47300</v>
      </c>
      <c r="F270" s="92" t="str">
        <f t="shared" si="14"/>
        <v>2029-30</v>
      </c>
      <c r="G270" s="199"/>
      <c r="H270" s="117" t="str">
        <f t="shared" si="13"/>
        <v>Mamre Rd</v>
      </c>
      <c r="I270" s="26">
        <f t="shared" si="13"/>
        <v>7189.7586453201966</v>
      </c>
      <c r="J270" s="100">
        <f t="shared" si="12"/>
        <v>1</v>
      </c>
      <c r="K270" s="37"/>
      <c r="L270" s="26"/>
      <c r="M270" s="26"/>
      <c r="N270" s="26"/>
      <c r="O270" s="95">
        <v>626467.44276910019</v>
      </c>
      <c r="P270" s="97">
        <f t="shared" si="5"/>
        <v>626467.44276910019</v>
      </c>
      <c r="Q270" s="199"/>
    </row>
    <row r="271" spans="3:17" s="193" customFormat="1">
      <c r="C271" s="26"/>
      <c r="D271" s="115" t="s">
        <v>471</v>
      </c>
      <c r="E271" s="34">
        <v>47300</v>
      </c>
      <c r="F271" s="92" t="str">
        <f t="shared" si="14"/>
        <v>2029-30</v>
      </c>
      <c r="G271" s="199"/>
      <c r="H271" s="117" t="str">
        <f t="shared" si="13"/>
        <v>Mamre Rd</v>
      </c>
      <c r="I271" s="26">
        <f t="shared" si="13"/>
        <v>7189.7586453201966</v>
      </c>
      <c r="J271" s="100">
        <f t="shared" si="12"/>
        <v>1</v>
      </c>
      <c r="K271" s="37"/>
      <c r="L271" s="26"/>
      <c r="M271" s="26"/>
      <c r="N271" s="26"/>
      <c r="O271" s="95">
        <v>438266.26024224336</v>
      </c>
      <c r="P271" s="97">
        <f t="shared" si="5"/>
        <v>438266.26024224336</v>
      </c>
      <c r="Q271" s="199"/>
    </row>
    <row r="272" spans="3:17" s="193" customFormat="1">
      <c r="C272" s="26"/>
      <c r="D272" s="115" t="s">
        <v>472</v>
      </c>
      <c r="E272" s="34">
        <v>47300</v>
      </c>
      <c r="F272" s="92" t="str">
        <f t="shared" si="14"/>
        <v>2029-30</v>
      </c>
      <c r="G272" s="199"/>
      <c r="H272" s="117" t="str">
        <f t="shared" si="13"/>
        <v>Mamre Rd</v>
      </c>
      <c r="I272" s="26">
        <f t="shared" si="13"/>
        <v>7189.7586453201966</v>
      </c>
      <c r="J272" s="100">
        <f t="shared" si="12"/>
        <v>1</v>
      </c>
      <c r="K272" s="37"/>
      <c r="L272" s="26"/>
      <c r="M272" s="26"/>
      <c r="N272" s="26"/>
      <c r="O272" s="95">
        <v>396376.60702072136</v>
      </c>
      <c r="P272" s="97">
        <f t="shared" si="5"/>
        <v>396376.60702072136</v>
      </c>
      <c r="Q272" s="199"/>
    </row>
    <row r="273" spans="3:17" s="193" customFormat="1">
      <c r="C273" s="26"/>
      <c r="D273" s="115" t="s">
        <v>473</v>
      </c>
      <c r="E273" s="34">
        <v>47300</v>
      </c>
      <c r="F273" s="92" t="str">
        <f t="shared" si="14"/>
        <v>2029-30</v>
      </c>
      <c r="G273" s="199"/>
      <c r="H273" s="117" t="str">
        <f t="shared" si="13"/>
        <v>Mamre Rd</v>
      </c>
      <c r="I273" s="26">
        <f t="shared" si="13"/>
        <v>7189.7586453201966</v>
      </c>
      <c r="J273" s="100">
        <f t="shared" si="12"/>
        <v>1</v>
      </c>
      <c r="K273" s="37"/>
      <c r="L273" s="26"/>
      <c r="M273" s="26"/>
      <c r="N273" s="26"/>
      <c r="O273" s="95">
        <v>230227.00605999902</v>
      </c>
      <c r="P273" s="97">
        <f t="shared" si="5"/>
        <v>230227.00605999902</v>
      </c>
      <c r="Q273" s="199"/>
    </row>
    <row r="274" spans="3:17" s="193" customFormat="1">
      <c r="C274" s="26"/>
      <c r="D274" s="115" t="s">
        <v>474</v>
      </c>
      <c r="E274" s="34">
        <v>47300</v>
      </c>
      <c r="F274" s="92" t="str">
        <f t="shared" si="14"/>
        <v>2029-30</v>
      </c>
      <c r="G274" s="199"/>
      <c r="H274" s="117" t="str">
        <f t="shared" si="13"/>
        <v>Mamre Rd</v>
      </c>
      <c r="I274" s="26">
        <f t="shared" si="13"/>
        <v>7189.7586453201966</v>
      </c>
      <c r="J274" s="100">
        <f t="shared" si="12"/>
        <v>1</v>
      </c>
      <c r="K274" s="37"/>
      <c r="L274" s="26"/>
      <c r="M274" s="26"/>
      <c r="N274" s="26"/>
      <c r="O274" s="95">
        <v>25223.344262944567</v>
      </c>
      <c r="P274" s="97">
        <f t="shared" si="5"/>
        <v>25223.344262944567</v>
      </c>
      <c r="Q274" s="199"/>
    </row>
    <row r="275" spans="3:17" s="193" customFormat="1">
      <c r="C275" s="26"/>
      <c r="D275" s="115" t="s">
        <v>475</v>
      </c>
      <c r="E275" s="34">
        <v>47300</v>
      </c>
      <c r="F275" s="92" t="str">
        <f t="shared" si="14"/>
        <v>2029-30</v>
      </c>
      <c r="G275" s="199"/>
      <c r="H275" s="117" t="str">
        <f t="shared" si="13"/>
        <v>Mamre Rd</v>
      </c>
      <c r="I275" s="26">
        <f t="shared" si="13"/>
        <v>7189.7586453201966</v>
      </c>
      <c r="J275" s="100">
        <f t="shared" si="12"/>
        <v>1</v>
      </c>
      <c r="K275" s="37"/>
      <c r="L275" s="26"/>
      <c r="M275" s="26"/>
      <c r="N275" s="26"/>
      <c r="O275" s="95">
        <v>5088.1207362669384</v>
      </c>
      <c r="P275" s="97">
        <f t="shared" si="5"/>
        <v>5088.1207362669384</v>
      </c>
      <c r="Q275" s="199"/>
    </row>
    <row r="276" spans="3:17" s="193" customFormat="1">
      <c r="C276" s="26"/>
      <c r="D276" s="115" t="s">
        <v>476</v>
      </c>
      <c r="E276" s="34">
        <v>47300</v>
      </c>
      <c r="F276" s="92" t="str">
        <f t="shared" si="14"/>
        <v>2029-30</v>
      </c>
      <c r="G276" s="199"/>
      <c r="H276" s="117" t="str">
        <f t="shared" si="13"/>
        <v>Mamre Rd</v>
      </c>
      <c r="I276" s="26">
        <f t="shared" si="13"/>
        <v>7189.7586453201966</v>
      </c>
      <c r="J276" s="100">
        <f t="shared" si="12"/>
        <v>1</v>
      </c>
      <c r="K276" s="37"/>
      <c r="L276" s="26"/>
      <c r="M276" s="26"/>
      <c r="N276" s="26"/>
      <c r="O276" s="95">
        <v>59383.070132439105</v>
      </c>
      <c r="P276" s="97">
        <f t="shared" si="5"/>
        <v>59383.070132439105</v>
      </c>
      <c r="Q276" s="199"/>
    </row>
    <row r="277" spans="3:17" s="193" customFormat="1">
      <c r="C277" s="26"/>
      <c r="D277" s="115" t="s">
        <v>477</v>
      </c>
      <c r="E277" s="34">
        <v>47300</v>
      </c>
      <c r="F277" s="92" t="str">
        <f t="shared" si="14"/>
        <v>2029-30</v>
      </c>
      <c r="G277" s="199"/>
      <c r="H277" s="117" t="str">
        <f t="shared" si="13"/>
        <v>Mamre Rd</v>
      </c>
      <c r="I277" s="26">
        <f t="shared" si="13"/>
        <v>7189.7586453201966</v>
      </c>
      <c r="J277" s="100">
        <f t="shared" si="12"/>
        <v>1</v>
      </c>
      <c r="K277" s="37"/>
      <c r="L277" s="26"/>
      <c r="M277" s="26"/>
      <c r="N277" s="26"/>
      <c r="O277" s="95">
        <v>53378.139239343931</v>
      </c>
      <c r="P277" s="97">
        <f t="shared" si="5"/>
        <v>53378.139239343931</v>
      </c>
      <c r="Q277" s="199"/>
    </row>
    <row r="278" spans="3:17" s="193" customFormat="1">
      <c r="C278" s="26"/>
      <c r="D278" s="115" t="s">
        <v>478</v>
      </c>
      <c r="E278" s="34">
        <v>47300</v>
      </c>
      <c r="F278" s="92" t="str">
        <f t="shared" si="14"/>
        <v>2029-30</v>
      </c>
      <c r="G278" s="199"/>
      <c r="H278" s="117" t="str">
        <f t="shared" si="13"/>
        <v>Mamre Rd</v>
      </c>
      <c r="I278" s="26">
        <f t="shared" si="13"/>
        <v>7189.7586453201966</v>
      </c>
      <c r="J278" s="100">
        <f t="shared" si="12"/>
        <v>1</v>
      </c>
      <c r="K278" s="37"/>
      <c r="L278" s="26"/>
      <c r="M278" s="26"/>
      <c r="N278" s="26"/>
      <c r="O278" s="95">
        <v>28256.018779793758</v>
      </c>
      <c r="P278" s="97">
        <f t="shared" si="5"/>
        <v>28256.018779793758</v>
      </c>
      <c r="Q278" s="199"/>
    </row>
    <row r="279" spans="3:17" s="193" customFormat="1">
      <c r="C279" s="26"/>
      <c r="D279" s="115" t="s">
        <v>479</v>
      </c>
      <c r="E279" s="34">
        <v>47300</v>
      </c>
      <c r="F279" s="92" t="str">
        <f t="shared" si="14"/>
        <v>2029-30</v>
      </c>
      <c r="G279" s="199"/>
      <c r="H279" s="117" t="str">
        <f t="shared" si="13"/>
        <v>Mamre Rd</v>
      </c>
      <c r="I279" s="26">
        <f t="shared" si="13"/>
        <v>7189.7586453201966</v>
      </c>
      <c r="J279" s="100">
        <f t="shared" si="12"/>
        <v>1</v>
      </c>
      <c r="K279" s="37"/>
      <c r="L279" s="26"/>
      <c r="M279" s="26"/>
      <c r="N279" s="26"/>
      <c r="O279" s="95">
        <v>21880.792596664214</v>
      </c>
      <c r="P279" s="97">
        <f t="shared" si="5"/>
        <v>21880.792596664214</v>
      </c>
      <c r="Q279" s="199"/>
    </row>
    <row r="280" spans="3:17" s="193" customFormat="1">
      <c r="C280" s="26"/>
      <c r="D280" s="115" t="s">
        <v>480</v>
      </c>
      <c r="E280" s="34">
        <v>47300</v>
      </c>
      <c r="F280" s="92" t="str">
        <f t="shared" si="14"/>
        <v>2029-30</v>
      </c>
      <c r="G280" s="199"/>
      <c r="H280" s="117" t="str">
        <f t="shared" si="13"/>
        <v>Mamre Rd</v>
      </c>
      <c r="I280" s="26">
        <f t="shared" si="13"/>
        <v>7189.7586453201966</v>
      </c>
      <c r="J280" s="100">
        <f t="shared" si="12"/>
        <v>1</v>
      </c>
      <c r="K280" s="37"/>
      <c r="L280" s="26"/>
      <c r="M280" s="26"/>
      <c r="N280" s="26"/>
      <c r="O280" s="95">
        <v>19556.274890606473</v>
      </c>
      <c r="P280" s="97">
        <f t="shared" si="5"/>
        <v>19556.274890606473</v>
      </c>
      <c r="Q280" s="199"/>
    </row>
    <row r="281" spans="3:17" s="193" customFormat="1">
      <c r="C281" s="26"/>
      <c r="D281" s="115" t="s">
        <v>481</v>
      </c>
      <c r="E281" s="34">
        <v>47300</v>
      </c>
      <c r="F281" s="92" t="str">
        <f t="shared" si="14"/>
        <v>2029-30</v>
      </c>
      <c r="G281" s="199"/>
      <c r="H281" s="117" t="str">
        <f t="shared" si="13"/>
        <v>Mamre Rd</v>
      </c>
      <c r="I281" s="26">
        <f t="shared" si="13"/>
        <v>7189.7586453201966</v>
      </c>
      <c r="J281" s="100">
        <f t="shared" si="12"/>
        <v>1</v>
      </c>
      <c r="K281" s="37"/>
      <c r="L281" s="26"/>
      <c r="M281" s="26"/>
      <c r="N281" s="26"/>
      <c r="O281" s="95">
        <v>97603.074145616207</v>
      </c>
      <c r="P281" s="97">
        <f t="shared" si="5"/>
        <v>97603.074145616207</v>
      </c>
      <c r="Q281" s="199"/>
    </row>
    <row r="282" spans="3:17" s="193" customFormat="1">
      <c r="C282" s="26"/>
      <c r="D282" s="115" t="s">
        <v>482</v>
      </c>
      <c r="E282" s="34">
        <v>47300</v>
      </c>
      <c r="F282" s="92" t="str">
        <f t="shared" si="14"/>
        <v>2029-30</v>
      </c>
      <c r="G282" s="199"/>
      <c r="H282" s="117" t="str">
        <f t="shared" si="13"/>
        <v>Mamre Rd</v>
      </c>
      <c r="I282" s="26">
        <f t="shared" si="13"/>
        <v>7189.7586453201966</v>
      </c>
      <c r="J282" s="100">
        <f t="shared" si="12"/>
        <v>1</v>
      </c>
      <c r="K282" s="37"/>
      <c r="L282" s="26"/>
      <c r="M282" s="26"/>
      <c r="N282" s="26"/>
      <c r="O282" s="95">
        <v>789359.13915791863</v>
      </c>
      <c r="P282" s="97">
        <f t="shared" si="5"/>
        <v>789359.13915791863</v>
      </c>
      <c r="Q282" s="199"/>
    </row>
    <row r="283" spans="3:17" s="193" customFormat="1">
      <c r="C283" s="26"/>
      <c r="D283" s="115" t="s">
        <v>483</v>
      </c>
      <c r="E283" s="34">
        <v>47300</v>
      </c>
      <c r="F283" s="92" t="str">
        <f t="shared" si="14"/>
        <v>2029-30</v>
      </c>
      <c r="G283" s="199"/>
      <c r="H283" s="117" t="str">
        <f t="shared" si="13"/>
        <v>Mamre Rd</v>
      </c>
      <c r="I283" s="26">
        <f t="shared" si="13"/>
        <v>7189.7586453201966</v>
      </c>
      <c r="J283" s="100">
        <f t="shared" si="12"/>
        <v>1</v>
      </c>
      <c r="K283" s="37"/>
      <c r="L283" s="26"/>
      <c r="M283" s="26"/>
      <c r="N283" s="26"/>
      <c r="O283" s="95">
        <v>741033.47776999942</v>
      </c>
      <c r="P283" s="97">
        <f t="shared" si="5"/>
        <v>741033.47776999942</v>
      </c>
      <c r="Q283" s="199"/>
    </row>
    <row r="284" spans="3:17" s="193" customFormat="1">
      <c r="C284" s="26"/>
      <c r="D284" s="115" t="s">
        <v>484</v>
      </c>
      <c r="E284" s="34">
        <v>47300</v>
      </c>
      <c r="F284" s="92" t="str">
        <f t="shared" si="14"/>
        <v>2029-30</v>
      </c>
      <c r="G284" s="199"/>
      <c r="H284" s="117" t="str">
        <f t="shared" si="13"/>
        <v>Mamre Rd</v>
      </c>
      <c r="I284" s="26">
        <f t="shared" si="13"/>
        <v>7189.7586453201966</v>
      </c>
      <c r="J284" s="100">
        <f t="shared" si="12"/>
        <v>1</v>
      </c>
      <c r="K284" s="37"/>
      <c r="L284" s="26"/>
      <c r="M284" s="26"/>
      <c r="N284" s="26"/>
      <c r="O284" s="95">
        <v>86806.855491453724</v>
      </c>
      <c r="P284" s="97">
        <f>IF(O284="-","-",IF(E284&lt;$E$15,0,O284*J284))</f>
        <v>86806.855491453724</v>
      </c>
      <c r="Q284" s="199"/>
    </row>
    <row r="285" spans="3:17" s="193" customFormat="1">
      <c r="C285" s="26"/>
      <c r="D285" s="115" t="s">
        <v>485</v>
      </c>
      <c r="E285" s="34">
        <v>47300</v>
      </c>
      <c r="F285" s="92" t="str">
        <f t="shared" si="14"/>
        <v>2029-30</v>
      </c>
      <c r="G285" s="199"/>
      <c r="H285" s="117" t="str">
        <f t="shared" si="13"/>
        <v>Mamre Rd</v>
      </c>
      <c r="I285" s="26">
        <f t="shared" si="13"/>
        <v>7189.7586453201966</v>
      </c>
      <c r="J285" s="100">
        <f t="shared" si="12"/>
        <v>1</v>
      </c>
      <c r="K285" s="37"/>
      <c r="L285" s="26"/>
      <c r="M285" s="26"/>
      <c r="N285" s="26"/>
      <c r="O285" s="95">
        <v>708600.14159903931</v>
      </c>
      <c r="P285" s="97">
        <f t="shared" si="5"/>
        <v>708600.14159903931</v>
      </c>
      <c r="Q285" s="199"/>
    </row>
    <row r="286" spans="3:17" s="193" customFormat="1">
      <c r="C286" s="26"/>
      <c r="D286" s="115" t="s">
        <v>486</v>
      </c>
      <c r="E286" s="34">
        <v>47300</v>
      </c>
      <c r="F286" s="92" t="str">
        <f t="shared" si="14"/>
        <v>2029-30</v>
      </c>
      <c r="G286" s="199"/>
      <c r="H286" s="117" t="str">
        <f t="shared" si="13"/>
        <v>Mamre Rd</v>
      </c>
      <c r="I286" s="26">
        <f t="shared" si="13"/>
        <v>7189.7586453201966</v>
      </c>
      <c r="J286" s="100">
        <f t="shared" si="12"/>
        <v>1</v>
      </c>
      <c r="K286" s="37"/>
      <c r="L286" s="26"/>
      <c r="M286" s="26"/>
      <c r="N286" s="26"/>
      <c r="O286" s="95">
        <v>309873.59813939262</v>
      </c>
      <c r="P286" s="97">
        <f t="shared" si="5"/>
        <v>309873.59813939262</v>
      </c>
      <c r="Q286" s="199"/>
    </row>
    <row r="287" spans="3:17" s="193" customFormat="1">
      <c r="C287" s="26"/>
      <c r="D287" s="115" t="s">
        <v>487</v>
      </c>
      <c r="E287" s="34">
        <v>47300</v>
      </c>
      <c r="F287" s="92" t="str">
        <f t="shared" si="14"/>
        <v>2029-30</v>
      </c>
      <c r="G287" s="199"/>
      <c r="H287" s="117" t="str">
        <f t="shared" si="13"/>
        <v>Mamre Rd</v>
      </c>
      <c r="I287" s="26">
        <f t="shared" si="13"/>
        <v>7189.7586453201966</v>
      </c>
      <c r="J287" s="100">
        <f t="shared" si="12"/>
        <v>1</v>
      </c>
      <c r="K287" s="37"/>
      <c r="L287" s="26"/>
      <c r="M287" s="26"/>
      <c r="N287" s="26"/>
      <c r="O287" s="95">
        <v>1361380.6619319422</v>
      </c>
      <c r="P287" s="97">
        <f t="shared" si="5"/>
        <v>1361380.6619319422</v>
      </c>
      <c r="Q287" s="199"/>
    </row>
    <row r="288" spans="3:17" s="193" customFormat="1">
      <c r="C288" s="26"/>
      <c r="D288" s="115" t="s">
        <v>488</v>
      </c>
      <c r="E288" s="34">
        <v>47300</v>
      </c>
      <c r="F288" s="92" t="str">
        <f t="shared" si="14"/>
        <v>2029-30</v>
      </c>
      <c r="G288" s="199"/>
      <c r="H288" s="117" t="str">
        <f t="shared" si="13"/>
        <v>Mamre Rd</v>
      </c>
      <c r="I288" s="26">
        <f t="shared" si="13"/>
        <v>7189.7586453201966</v>
      </c>
      <c r="J288" s="100">
        <f t="shared" ref="J288:J336" si="15">J287</f>
        <v>1</v>
      </c>
      <c r="K288" s="37"/>
      <c r="L288" s="26"/>
      <c r="M288" s="26"/>
      <c r="N288" s="26"/>
      <c r="O288" s="95">
        <v>18838.293292416176</v>
      </c>
      <c r="P288" s="97">
        <f t="shared" si="5"/>
        <v>18838.293292416176</v>
      </c>
      <c r="Q288" s="199"/>
    </row>
    <row r="289" spans="3:16" s="193" customFormat="1">
      <c r="C289" s="26"/>
      <c r="D289" s="115" t="s">
        <v>489</v>
      </c>
      <c r="E289" s="34">
        <v>47300</v>
      </c>
      <c r="F289" s="92" t="str">
        <f t="shared" si="14"/>
        <v>2029-30</v>
      </c>
      <c r="G289" s="199"/>
      <c r="H289" s="117" t="str">
        <f t="shared" si="13"/>
        <v>Mamre Rd</v>
      </c>
      <c r="I289" s="26">
        <f t="shared" si="13"/>
        <v>7189.7586453201966</v>
      </c>
      <c r="J289" s="100">
        <f t="shared" si="15"/>
        <v>1</v>
      </c>
      <c r="K289" s="37"/>
      <c r="L289" s="26"/>
      <c r="M289" s="26"/>
      <c r="N289" s="26"/>
      <c r="O289" s="95">
        <v>35164.814145843528</v>
      </c>
      <c r="P289" s="97">
        <f t="shared" si="5"/>
        <v>35164.814145843528</v>
      </c>
    </row>
    <row r="290" spans="3:16" s="193" customFormat="1">
      <c r="C290" s="26"/>
      <c r="D290" s="115" t="s">
        <v>490</v>
      </c>
      <c r="E290" s="34">
        <v>47300</v>
      </c>
      <c r="F290" s="92" t="str">
        <f t="shared" ref="F290:F336" si="16">IF(E290="","-",IF(E290&lt;$E$15,"ERROR - date outside of range",IF(MONTH(E290)&gt;=7,YEAR(E290)&amp;"-"&amp;RIGHT(YEAR(E290),2)+1,YEAR(E290)-1&amp;"-"&amp;RIGHT(YEAR(E290),2))))</f>
        <v>2029-30</v>
      </c>
      <c r="G290" s="199"/>
      <c r="H290" s="117" t="str">
        <f t="shared" ref="H290:I337" si="17">H289</f>
        <v>Mamre Rd</v>
      </c>
      <c r="I290" s="26">
        <f t="shared" si="17"/>
        <v>7189.7586453201966</v>
      </c>
      <c r="J290" s="100">
        <f t="shared" si="15"/>
        <v>1</v>
      </c>
      <c r="K290" s="37"/>
      <c r="L290" s="26"/>
      <c r="M290" s="26"/>
      <c r="N290" s="26"/>
      <c r="O290" s="95">
        <v>1312278.4245209792</v>
      </c>
      <c r="P290" s="97">
        <f t="shared" si="5"/>
        <v>1312278.4245209792</v>
      </c>
    </row>
    <row r="291" spans="3:16" s="193" customFormat="1">
      <c r="C291" s="26"/>
      <c r="D291" s="115" t="s">
        <v>491</v>
      </c>
      <c r="E291" s="34">
        <v>47300</v>
      </c>
      <c r="F291" s="92" t="str">
        <f t="shared" si="16"/>
        <v>2029-30</v>
      </c>
      <c r="G291" s="199"/>
      <c r="H291" s="117" t="str">
        <f t="shared" si="17"/>
        <v>Mamre Rd</v>
      </c>
      <c r="I291" s="26">
        <f t="shared" si="17"/>
        <v>7189.7586453201966</v>
      </c>
      <c r="J291" s="100">
        <f t="shared" si="15"/>
        <v>1</v>
      </c>
      <c r="K291" s="37"/>
      <c r="L291" s="26"/>
      <c r="M291" s="26"/>
      <c r="N291" s="26"/>
      <c r="O291" s="95">
        <v>1105798.9299258217</v>
      </c>
      <c r="P291" s="97">
        <f t="shared" si="5"/>
        <v>1105798.9299258217</v>
      </c>
    </row>
    <row r="292" spans="3:16" s="193" customFormat="1">
      <c r="C292" s="26"/>
      <c r="D292" s="115" t="s">
        <v>492</v>
      </c>
      <c r="E292" s="34">
        <v>47300</v>
      </c>
      <c r="F292" s="92" t="str">
        <f t="shared" si="16"/>
        <v>2029-30</v>
      </c>
      <c r="G292" s="199"/>
      <c r="H292" s="117" t="str">
        <f t="shared" si="17"/>
        <v>Mamre Rd</v>
      </c>
      <c r="I292" s="26">
        <f t="shared" si="17"/>
        <v>7189.7586453201966</v>
      </c>
      <c r="J292" s="100">
        <f t="shared" si="15"/>
        <v>1</v>
      </c>
      <c r="K292" s="37"/>
      <c r="L292" s="26"/>
      <c r="M292" s="26"/>
      <c r="N292" s="26"/>
      <c r="O292" s="95">
        <v>746615.88107788854</v>
      </c>
      <c r="P292" s="97">
        <f t="shared" si="5"/>
        <v>746615.88107788854</v>
      </c>
    </row>
    <row r="293" spans="3:16" s="193" customFormat="1">
      <c r="C293" s="26"/>
      <c r="D293" s="115" t="s">
        <v>493</v>
      </c>
      <c r="E293" s="34">
        <v>47300</v>
      </c>
      <c r="F293" s="92" t="str">
        <f t="shared" si="16"/>
        <v>2029-30</v>
      </c>
      <c r="G293" s="199"/>
      <c r="H293" s="117" t="str">
        <f t="shared" si="17"/>
        <v>Mamre Rd</v>
      </c>
      <c r="I293" s="26">
        <f t="shared" si="17"/>
        <v>7189.7586453201966</v>
      </c>
      <c r="J293" s="100">
        <f t="shared" si="15"/>
        <v>1</v>
      </c>
      <c r="K293" s="37"/>
      <c r="L293" s="26"/>
      <c r="M293" s="26"/>
      <c r="N293" s="26"/>
      <c r="O293" s="95">
        <v>607804.4722582734</v>
      </c>
      <c r="P293" s="97">
        <f t="shared" si="5"/>
        <v>607804.4722582734</v>
      </c>
    </row>
    <row r="294" spans="3:16" s="193" customFormat="1">
      <c r="C294" s="26"/>
      <c r="D294" s="115" t="s">
        <v>494</v>
      </c>
      <c r="E294" s="34">
        <v>47300</v>
      </c>
      <c r="F294" s="92" t="str">
        <f t="shared" si="16"/>
        <v>2029-30</v>
      </c>
      <c r="G294" s="199"/>
      <c r="H294" s="117" t="str">
        <f t="shared" si="17"/>
        <v>Mamre Rd</v>
      </c>
      <c r="I294" s="26">
        <f t="shared" si="17"/>
        <v>7189.7586453201966</v>
      </c>
      <c r="J294" s="100">
        <f t="shared" si="15"/>
        <v>1</v>
      </c>
      <c r="K294" s="37"/>
      <c r="L294" s="26"/>
      <c r="M294" s="26"/>
      <c r="N294" s="26"/>
      <c r="O294" s="95">
        <v>563855.96295464772</v>
      </c>
      <c r="P294" s="97">
        <f t="shared" si="5"/>
        <v>563855.96295464772</v>
      </c>
    </row>
    <row r="295" spans="3:16" s="193" customFormat="1">
      <c r="C295" s="26"/>
      <c r="D295" s="115" t="s">
        <v>495</v>
      </c>
      <c r="E295" s="34">
        <v>47300</v>
      </c>
      <c r="F295" s="92" t="str">
        <f t="shared" si="16"/>
        <v>2029-30</v>
      </c>
      <c r="G295" s="199"/>
      <c r="H295" s="117" t="str">
        <f t="shared" si="17"/>
        <v>Mamre Rd</v>
      </c>
      <c r="I295" s="26">
        <f t="shared" si="17"/>
        <v>7189.7586453201966</v>
      </c>
      <c r="J295" s="100">
        <f t="shared" si="15"/>
        <v>1</v>
      </c>
      <c r="K295" s="37"/>
      <c r="L295" s="26"/>
      <c r="M295" s="26"/>
      <c r="N295" s="26"/>
      <c r="O295" s="95">
        <v>426436.6298616603</v>
      </c>
      <c r="P295" s="97">
        <f t="shared" si="5"/>
        <v>426436.6298616603</v>
      </c>
    </row>
    <row r="296" spans="3:16" s="193" customFormat="1">
      <c r="C296" s="26"/>
      <c r="D296" s="115" t="s">
        <v>496</v>
      </c>
      <c r="E296" s="34">
        <v>47300</v>
      </c>
      <c r="F296" s="92" t="str">
        <f t="shared" si="16"/>
        <v>2029-30</v>
      </c>
      <c r="G296" s="199"/>
      <c r="H296" s="117" t="str">
        <f t="shared" si="17"/>
        <v>Mamre Rd</v>
      </c>
      <c r="I296" s="26">
        <f t="shared" si="17"/>
        <v>7189.7586453201966</v>
      </c>
      <c r="J296" s="100">
        <f t="shared" si="15"/>
        <v>1</v>
      </c>
      <c r="K296" s="37"/>
      <c r="L296" s="26"/>
      <c r="M296" s="26"/>
      <c r="N296" s="26"/>
      <c r="O296" s="95">
        <v>624708.19653612759</v>
      </c>
      <c r="P296" s="97">
        <f t="shared" si="5"/>
        <v>624708.19653612759</v>
      </c>
    </row>
    <row r="297" spans="3:16" s="193" customFormat="1">
      <c r="C297" s="26"/>
      <c r="D297" s="115" t="s">
        <v>497</v>
      </c>
      <c r="E297" s="34">
        <v>47300</v>
      </c>
      <c r="F297" s="92" t="str">
        <f t="shared" si="16"/>
        <v>2029-30</v>
      </c>
      <c r="G297" s="199"/>
      <c r="H297" s="117" t="str">
        <f t="shared" si="17"/>
        <v>Mamre Rd</v>
      </c>
      <c r="I297" s="26">
        <f t="shared" si="17"/>
        <v>7189.7586453201966</v>
      </c>
      <c r="J297" s="100">
        <f t="shared" si="15"/>
        <v>1</v>
      </c>
      <c r="K297" s="37"/>
      <c r="L297" s="26"/>
      <c r="M297" s="26"/>
      <c r="N297" s="26"/>
      <c r="O297" s="95">
        <v>812889.83694391337</v>
      </c>
      <c r="P297" s="97">
        <f t="shared" si="5"/>
        <v>812889.83694391337</v>
      </c>
    </row>
    <row r="298" spans="3:16" s="193" customFormat="1">
      <c r="C298" s="26"/>
      <c r="D298" s="115" t="s">
        <v>498</v>
      </c>
      <c r="E298" s="34">
        <v>47300</v>
      </c>
      <c r="F298" s="92" t="str">
        <f t="shared" si="16"/>
        <v>2029-30</v>
      </c>
      <c r="G298" s="199"/>
      <c r="H298" s="117" t="str">
        <f t="shared" si="17"/>
        <v>Mamre Rd</v>
      </c>
      <c r="I298" s="26">
        <f t="shared" si="17"/>
        <v>7189.7586453201966</v>
      </c>
      <c r="J298" s="100">
        <f t="shared" si="15"/>
        <v>1</v>
      </c>
      <c r="K298" s="37"/>
      <c r="L298" s="26"/>
      <c r="M298" s="26"/>
      <c r="N298" s="26"/>
      <c r="O298" s="95">
        <v>657246.49503910053</v>
      </c>
      <c r="P298" s="97">
        <f t="shared" si="5"/>
        <v>657246.49503910053</v>
      </c>
    </row>
    <row r="299" spans="3:16" s="193" customFormat="1">
      <c r="C299" s="26"/>
      <c r="D299" s="115" t="s">
        <v>499</v>
      </c>
      <c r="E299" s="34">
        <v>47300</v>
      </c>
      <c r="F299" s="92" t="str">
        <f t="shared" si="16"/>
        <v>2029-30</v>
      </c>
      <c r="G299" s="199"/>
      <c r="H299" s="117" t="str">
        <f t="shared" si="17"/>
        <v>Mamre Rd</v>
      </c>
      <c r="I299" s="26">
        <f t="shared" si="17"/>
        <v>7189.7586453201966</v>
      </c>
      <c r="J299" s="100">
        <f t="shared" si="15"/>
        <v>1</v>
      </c>
      <c r="K299" s="37"/>
      <c r="L299" s="26"/>
      <c r="M299" s="26"/>
      <c r="N299" s="26"/>
      <c r="O299" s="95">
        <v>209556.85349072775</v>
      </c>
      <c r="P299" s="97">
        <f t="shared" si="5"/>
        <v>209556.85349072775</v>
      </c>
    </row>
    <row r="300" spans="3:16" s="193" customFormat="1">
      <c r="C300" s="26"/>
      <c r="D300" s="115" t="s">
        <v>500</v>
      </c>
      <c r="E300" s="34">
        <v>47300</v>
      </c>
      <c r="F300" s="92" t="str">
        <f t="shared" si="16"/>
        <v>2029-30</v>
      </c>
      <c r="G300" s="199"/>
      <c r="H300" s="117" t="str">
        <f t="shared" si="17"/>
        <v>Mamre Rd</v>
      </c>
      <c r="I300" s="26">
        <f t="shared" si="17"/>
        <v>7189.7586453201966</v>
      </c>
      <c r="J300" s="100">
        <f t="shared" si="15"/>
        <v>1</v>
      </c>
      <c r="K300" s="37"/>
      <c r="L300" s="26"/>
      <c r="M300" s="26"/>
      <c r="N300" s="26"/>
      <c r="O300" s="95">
        <v>289417.44630620052</v>
      </c>
      <c r="P300" s="97">
        <f t="shared" si="5"/>
        <v>289417.44630620052</v>
      </c>
    </row>
    <row r="301" spans="3:16" s="193" customFormat="1">
      <c r="C301" s="26"/>
      <c r="D301" s="115" t="s">
        <v>501</v>
      </c>
      <c r="E301" s="34">
        <v>47300</v>
      </c>
      <c r="F301" s="92" t="str">
        <f t="shared" si="16"/>
        <v>2029-30</v>
      </c>
      <c r="G301" s="199"/>
      <c r="H301" s="117" t="str">
        <f t="shared" si="17"/>
        <v>Mamre Rd</v>
      </c>
      <c r="I301" s="26">
        <f t="shared" si="17"/>
        <v>7189.7586453201966</v>
      </c>
      <c r="J301" s="100">
        <f t="shared" si="15"/>
        <v>1</v>
      </c>
      <c r="K301" s="37"/>
      <c r="L301" s="26"/>
      <c r="M301" s="26"/>
      <c r="N301" s="26"/>
      <c r="O301" s="95">
        <v>767818.97827725264</v>
      </c>
      <c r="P301" s="97">
        <f t="shared" si="5"/>
        <v>767818.97827725264</v>
      </c>
    </row>
    <row r="302" spans="3:16" s="193" customFormat="1">
      <c r="C302" s="26"/>
      <c r="D302" s="115" t="s">
        <v>502</v>
      </c>
      <c r="E302" s="34">
        <v>47300</v>
      </c>
      <c r="F302" s="92" t="str">
        <f t="shared" si="16"/>
        <v>2029-30</v>
      </c>
      <c r="G302" s="199"/>
      <c r="H302" s="117" t="str">
        <f t="shared" si="17"/>
        <v>Mamre Rd</v>
      </c>
      <c r="I302" s="26">
        <f t="shared" si="17"/>
        <v>7189.7586453201966</v>
      </c>
      <c r="J302" s="100">
        <f t="shared" si="15"/>
        <v>1</v>
      </c>
      <c r="K302" s="37"/>
      <c r="L302" s="26"/>
      <c r="M302" s="26"/>
      <c r="N302" s="26"/>
      <c r="O302" s="95">
        <v>273830.98855602107</v>
      </c>
      <c r="P302" s="97">
        <f t="shared" si="5"/>
        <v>273830.98855602107</v>
      </c>
    </row>
    <row r="303" spans="3:16" s="193" customFormat="1">
      <c r="C303" s="26"/>
      <c r="D303" s="115" t="s">
        <v>503</v>
      </c>
      <c r="E303" s="34">
        <v>47300</v>
      </c>
      <c r="F303" s="92" t="str">
        <f t="shared" si="16"/>
        <v>2029-30</v>
      </c>
      <c r="G303" s="199"/>
      <c r="H303" s="117" t="str">
        <f t="shared" si="17"/>
        <v>Mamre Rd</v>
      </c>
      <c r="I303" s="26">
        <f t="shared" si="17"/>
        <v>7189.7586453201966</v>
      </c>
      <c r="J303" s="100">
        <f t="shared" si="15"/>
        <v>1</v>
      </c>
      <c r="K303" s="37"/>
      <c r="L303" s="26"/>
      <c r="M303" s="26"/>
      <c r="N303" s="26"/>
      <c r="O303" s="95">
        <v>542380.76339161489</v>
      </c>
      <c r="P303" s="97">
        <f t="shared" si="5"/>
        <v>542380.76339161489</v>
      </c>
    </row>
    <row r="304" spans="3:16" s="193" customFormat="1">
      <c r="C304" s="26"/>
      <c r="D304" s="115" t="s">
        <v>504</v>
      </c>
      <c r="E304" s="34">
        <v>47300</v>
      </c>
      <c r="F304" s="92" t="str">
        <f t="shared" si="16"/>
        <v>2029-30</v>
      </c>
      <c r="G304" s="199"/>
      <c r="H304" s="117" t="str">
        <f t="shared" si="17"/>
        <v>Mamre Rd</v>
      </c>
      <c r="I304" s="26">
        <f t="shared" si="17"/>
        <v>7189.7586453201966</v>
      </c>
      <c r="J304" s="100">
        <f t="shared" si="15"/>
        <v>1</v>
      </c>
      <c r="K304" s="37"/>
      <c r="L304" s="26"/>
      <c r="M304" s="26"/>
      <c r="N304" s="26"/>
      <c r="O304" s="95">
        <v>659096.31053673243</v>
      </c>
      <c r="P304" s="97">
        <f t="shared" si="5"/>
        <v>659096.31053673243</v>
      </c>
    </row>
    <row r="305" spans="3:17" s="193" customFormat="1">
      <c r="C305" s="26"/>
      <c r="D305" s="115" t="s">
        <v>505</v>
      </c>
      <c r="E305" s="34">
        <v>47300</v>
      </c>
      <c r="F305" s="92" t="str">
        <f t="shared" si="16"/>
        <v>2029-30</v>
      </c>
      <c r="G305" s="199"/>
      <c r="H305" s="117" t="str">
        <f t="shared" si="17"/>
        <v>Mamre Rd</v>
      </c>
      <c r="I305" s="26">
        <f t="shared" si="17"/>
        <v>7189.7586453201966</v>
      </c>
      <c r="J305" s="100">
        <f t="shared" si="15"/>
        <v>1</v>
      </c>
      <c r="K305" s="37"/>
      <c r="L305" s="26"/>
      <c r="M305" s="26"/>
      <c r="N305" s="26"/>
      <c r="O305" s="95">
        <v>767818.97827725264</v>
      </c>
      <c r="P305" s="97">
        <f t="shared" si="5"/>
        <v>767818.97827725264</v>
      </c>
      <c r="Q305" s="199"/>
    </row>
    <row r="306" spans="3:17" s="193" customFormat="1">
      <c r="C306" s="26"/>
      <c r="D306" s="115" t="s">
        <v>506</v>
      </c>
      <c r="E306" s="34">
        <v>47300</v>
      </c>
      <c r="F306" s="92" t="str">
        <f t="shared" si="16"/>
        <v>2029-30</v>
      </c>
      <c r="G306" s="199"/>
      <c r="H306" s="117" t="str">
        <f t="shared" si="17"/>
        <v>Mamre Rd</v>
      </c>
      <c r="I306" s="26">
        <f t="shared" si="17"/>
        <v>7189.7586453201966</v>
      </c>
      <c r="J306" s="100">
        <f t="shared" si="15"/>
        <v>1</v>
      </c>
      <c r="K306" s="37"/>
      <c r="L306" s="26"/>
      <c r="M306" s="26"/>
      <c r="N306" s="26"/>
      <c r="O306" s="95">
        <v>252395.98953114584</v>
      </c>
      <c r="P306" s="97">
        <f t="shared" si="5"/>
        <v>252395.98953114584</v>
      </c>
      <c r="Q306" s="199"/>
    </row>
    <row r="307" spans="3:17" s="193" customFormat="1">
      <c r="C307" s="26"/>
      <c r="D307" s="115" t="s">
        <v>507</v>
      </c>
      <c r="E307" s="34">
        <v>47300</v>
      </c>
      <c r="F307" s="92" t="str">
        <f t="shared" si="16"/>
        <v>2029-30</v>
      </c>
      <c r="G307" s="199"/>
      <c r="H307" s="117" t="str">
        <f t="shared" si="17"/>
        <v>Mamre Rd</v>
      </c>
      <c r="I307" s="26">
        <f t="shared" si="17"/>
        <v>7189.7586453201966</v>
      </c>
      <c r="J307" s="100">
        <f t="shared" si="15"/>
        <v>1</v>
      </c>
      <c r="K307" s="37"/>
      <c r="L307" s="26"/>
      <c r="M307" s="26"/>
      <c r="N307" s="26"/>
      <c r="O307" s="95">
        <v>1766316.6168272549</v>
      </c>
      <c r="P307" s="97">
        <f t="shared" si="5"/>
        <v>1766316.6168272549</v>
      </c>
      <c r="Q307" s="199"/>
    </row>
    <row r="308" spans="3:17" s="193" customFormat="1">
      <c r="C308" s="26"/>
      <c r="D308" s="115" t="s">
        <v>508</v>
      </c>
      <c r="E308" s="34">
        <v>47300</v>
      </c>
      <c r="F308" s="92" t="str">
        <f t="shared" si="16"/>
        <v>2029-30</v>
      </c>
      <c r="G308" s="199"/>
      <c r="H308" s="117" t="str">
        <f t="shared" si="17"/>
        <v>Mamre Rd</v>
      </c>
      <c r="I308" s="26">
        <f t="shared" si="17"/>
        <v>7189.7586453201966</v>
      </c>
      <c r="J308" s="100">
        <f t="shared" si="15"/>
        <v>1</v>
      </c>
      <c r="K308" s="37"/>
      <c r="L308" s="26"/>
      <c r="M308" s="26"/>
      <c r="N308" s="26"/>
      <c r="O308" s="95">
        <v>173721.06191599939</v>
      </c>
      <c r="P308" s="97">
        <f t="shared" si="5"/>
        <v>173721.06191599939</v>
      </c>
      <c r="Q308" s="199"/>
    </row>
    <row r="309" spans="3:17" s="193" customFormat="1">
      <c r="C309" s="26"/>
      <c r="D309" s="115" t="s">
        <v>509</v>
      </c>
      <c r="E309" s="34">
        <v>47300</v>
      </c>
      <c r="F309" s="92" t="str">
        <f t="shared" si="16"/>
        <v>2029-30</v>
      </c>
      <c r="G309" s="199"/>
      <c r="H309" s="117" t="str">
        <f t="shared" si="17"/>
        <v>Mamre Rd</v>
      </c>
      <c r="I309" s="26">
        <f t="shared" si="17"/>
        <v>7189.7586453201966</v>
      </c>
      <c r="J309" s="100">
        <f t="shared" si="15"/>
        <v>1</v>
      </c>
      <c r="K309" s="37"/>
      <c r="L309" s="26"/>
      <c r="M309" s="26"/>
      <c r="N309" s="26"/>
      <c r="O309" s="95">
        <v>64855.863115306449</v>
      </c>
      <c r="P309" s="97">
        <f t="shared" si="5"/>
        <v>64855.863115306449</v>
      </c>
      <c r="Q309" s="199"/>
    </row>
    <row r="310" spans="3:17" s="193" customFormat="1">
      <c r="C310" s="26"/>
      <c r="D310" s="115" t="s">
        <v>510</v>
      </c>
      <c r="E310" s="34">
        <v>47300</v>
      </c>
      <c r="F310" s="92" t="str">
        <f t="shared" si="16"/>
        <v>2029-30</v>
      </c>
      <c r="G310" s="199"/>
      <c r="H310" s="117" t="str">
        <f t="shared" si="17"/>
        <v>Mamre Rd</v>
      </c>
      <c r="I310" s="26">
        <f t="shared" si="17"/>
        <v>7189.7586453201966</v>
      </c>
      <c r="J310" s="100">
        <f t="shared" si="15"/>
        <v>1</v>
      </c>
      <c r="K310" s="37"/>
      <c r="L310" s="26"/>
      <c r="M310" s="26"/>
      <c r="N310" s="26"/>
      <c r="O310" s="95">
        <v>147083.83242221287</v>
      </c>
      <c r="P310" s="97">
        <f t="shared" si="5"/>
        <v>147083.83242221287</v>
      </c>
      <c r="Q310" s="199"/>
    </row>
    <row r="311" spans="3:17" s="193" customFormat="1" ht="24">
      <c r="C311" s="26"/>
      <c r="D311" s="115" t="s">
        <v>511</v>
      </c>
      <c r="E311" s="34">
        <v>47300</v>
      </c>
      <c r="F311" s="92" t="str">
        <f t="shared" si="16"/>
        <v>2029-30</v>
      </c>
      <c r="G311" s="199"/>
      <c r="H311" s="117" t="str">
        <f t="shared" si="17"/>
        <v>Mamre Rd</v>
      </c>
      <c r="I311" s="26">
        <f t="shared" si="17"/>
        <v>7189.7586453201966</v>
      </c>
      <c r="J311" s="100">
        <f t="shared" si="15"/>
        <v>1</v>
      </c>
      <c r="K311" s="37"/>
      <c r="L311" s="26"/>
      <c r="M311" s="26"/>
      <c r="N311" s="26"/>
      <c r="O311" s="95">
        <v>3088211.5223108153</v>
      </c>
      <c r="P311" s="97">
        <f t="shared" si="5"/>
        <v>3088211.5223108153</v>
      </c>
      <c r="Q311" s="199"/>
    </row>
    <row r="312" spans="3:17" s="193" customFormat="1">
      <c r="C312" s="26"/>
      <c r="D312" s="115" t="s">
        <v>512</v>
      </c>
      <c r="E312" s="34">
        <v>47300</v>
      </c>
      <c r="F312" s="92" t="str">
        <f t="shared" si="16"/>
        <v>2029-30</v>
      </c>
      <c r="G312" s="199"/>
      <c r="H312" s="117" t="str">
        <f t="shared" si="17"/>
        <v>Mamre Rd</v>
      </c>
      <c r="I312" s="26">
        <f t="shared" si="17"/>
        <v>7189.7586453201966</v>
      </c>
      <c r="J312" s="100">
        <f t="shared" si="15"/>
        <v>1</v>
      </c>
      <c r="K312" s="37"/>
      <c r="L312" s="26"/>
      <c r="M312" s="26"/>
      <c r="N312" s="26"/>
      <c r="O312" s="95">
        <v>1019240.9270201033</v>
      </c>
      <c r="P312" s="97">
        <f t="shared" si="5"/>
        <v>1019240.9270201033</v>
      </c>
      <c r="Q312" s="199"/>
    </row>
    <row r="313" spans="3:17" s="193" customFormat="1">
      <c r="C313" s="26"/>
      <c r="D313" s="115" t="s">
        <v>513</v>
      </c>
      <c r="E313" s="34">
        <v>47300</v>
      </c>
      <c r="F313" s="92" t="str">
        <f t="shared" si="16"/>
        <v>2029-30</v>
      </c>
      <c r="G313" s="199"/>
      <c r="H313" s="117" t="str">
        <f t="shared" si="17"/>
        <v>Mamre Rd</v>
      </c>
      <c r="I313" s="26">
        <f t="shared" si="17"/>
        <v>7189.7586453201966</v>
      </c>
      <c r="J313" s="100">
        <f t="shared" si="15"/>
        <v>1</v>
      </c>
      <c r="K313" s="37"/>
      <c r="L313" s="26"/>
      <c r="M313" s="26"/>
      <c r="N313" s="26"/>
      <c r="O313" s="95">
        <v>87703.193922333579</v>
      </c>
      <c r="P313" s="97">
        <f t="shared" si="5"/>
        <v>87703.193922333579</v>
      </c>
      <c r="Q313" s="199"/>
    </row>
    <row r="314" spans="3:17" s="193" customFormat="1">
      <c r="C314" s="26"/>
      <c r="D314" s="115" t="s">
        <v>514</v>
      </c>
      <c r="E314" s="34">
        <v>47300</v>
      </c>
      <c r="F314" s="92" t="str">
        <f t="shared" si="16"/>
        <v>2029-30</v>
      </c>
      <c r="G314" s="199"/>
      <c r="H314" s="117" t="str">
        <f t="shared" si="17"/>
        <v>Mamre Rd</v>
      </c>
      <c r="I314" s="26">
        <f t="shared" si="17"/>
        <v>7189.7586453201966</v>
      </c>
      <c r="J314" s="100">
        <f t="shared" si="15"/>
        <v>1</v>
      </c>
      <c r="K314" s="37"/>
      <c r="L314" s="26"/>
      <c r="M314" s="26"/>
      <c r="N314" s="26"/>
      <c r="O314" s="95">
        <v>39104.379409208916</v>
      </c>
      <c r="P314" s="97">
        <f t="shared" si="5"/>
        <v>39104.379409208916</v>
      </c>
      <c r="Q314" s="199"/>
    </row>
    <row r="315" spans="3:17" s="193" customFormat="1">
      <c r="C315" s="26"/>
      <c r="D315" s="115" t="s">
        <v>515</v>
      </c>
      <c r="E315" s="34">
        <v>47300</v>
      </c>
      <c r="F315" s="92" t="str">
        <f t="shared" si="16"/>
        <v>2029-30</v>
      </c>
      <c r="G315" s="199"/>
      <c r="H315" s="117" t="str">
        <f t="shared" si="17"/>
        <v>Mamre Rd</v>
      </c>
      <c r="I315" s="26">
        <f t="shared" si="17"/>
        <v>7189.7586453201966</v>
      </c>
      <c r="J315" s="100">
        <f t="shared" si="15"/>
        <v>1</v>
      </c>
      <c r="K315" s="37"/>
      <c r="L315" s="26"/>
      <c r="M315" s="26"/>
      <c r="N315" s="26"/>
      <c r="O315" s="95">
        <v>1296091.6302983498</v>
      </c>
      <c r="P315" s="97">
        <f t="shared" si="5"/>
        <v>1296091.6302983498</v>
      </c>
      <c r="Q315" s="199"/>
    </row>
    <row r="316" spans="3:17" s="193" customFormat="1">
      <c r="C316" s="26"/>
      <c r="D316" s="115" t="s">
        <v>242</v>
      </c>
      <c r="E316" s="34">
        <v>47300</v>
      </c>
      <c r="F316" s="92" t="str">
        <f t="shared" si="16"/>
        <v>2029-30</v>
      </c>
      <c r="G316" s="199"/>
      <c r="H316" s="117" t="str">
        <f t="shared" si="17"/>
        <v>Mamre Rd</v>
      </c>
      <c r="I316" s="26">
        <f t="shared" si="17"/>
        <v>7189.7586453201966</v>
      </c>
      <c r="J316" s="100">
        <f t="shared" si="15"/>
        <v>1</v>
      </c>
      <c r="K316" s="37"/>
      <c r="L316" s="26"/>
      <c r="M316" s="26"/>
      <c r="N316" s="26"/>
      <c r="O316" s="95">
        <v>63436.6352692726</v>
      </c>
      <c r="P316" s="97">
        <f t="shared" si="5"/>
        <v>63436.6352692726</v>
      </c>
      <c r="Q316" s="199"/>
    </row>
    <row r="317" spans="3:17" s="193" customFormat="1">
      <c r="C317" s="26"/>
      <c r="D317" s="115" t="s">
        <v>516</v>
      </c>
      <c r="E317" s="34">
        <v>47665</v>
      </c>
      <c r="F317" s="92" t="str">
        <f t="shared" si="16"/>
        <v>2030-31</v>
      </c>
      <c r="G317" s="199"/>
      <c r="H317" s="117" t="str">
        <f t="shared" si="17"/>
        <v>Mamre Rd</v>
      </c>
      <c r="I317" s="26">
        <f t="shared" si="17"/>
        <v>7189.7586453201966</v>
      </c>
      <c r="J317" s="100">
        <f t="shared" si="15"/>
        <v>1</v>
      </c>
      <c r="K317" s="37"/>
      <c r="L317" s="26"/>
      <c r="M317" s="26"/>
      <c r="N317" s="26"/>
      <c r="O317" s="95">
        <v>73220.772698525805</v>
      </c>
      <c r="P317" s="97">
        <f t="shared" ref="P317:P336" si="18">IF(O317="-","-",IF(E317&lt;$E$15,0,O317*J317))</f>
        <v>73220.772698525805</v>
      </c>
      <c r="Q317" s="199"/>
    </row>
    <row r="318" spans="3:17" s="193" customFormat="1">
      <c r="C318" s="26"/>
      <c r="D318" s="115" t="s">
        <v>517</v>
      </c>
      <c r="E318" s="34">
        <v>47665</v>
      </c>
      <c r="F318" s="92" t="str">
        <f t="shared" si="16"/>
        <v>2030-31</v>
      </c>
      <c r="G318" s="199"/>
      <c r="H318" s="117" t="str">
        <f t="shared" si="17"/>
        <v>Mamre Rd</v>
      </c>
      <c r="I318" s="26">
        <f t="shared" si="17"/>
        <v>7189.7586453201966</v>
      </c>
      <c r="J318" s="100">
        <f t="shared" si="15"/>
        <v>1</v>
      </c>
      <c r="K318" s="37"/>
      <c r="L318" s="26"/>
      <c r="M318" s="26"/>
      <c r="N318" s="26"/>
      <c r="O318" s="95">
        <v>313233.72138455015</v>
      </c>
      <c r="P318" s="97">
        <f t="shared" si="18"/>
        <v>313233.72138455015</v>
      </c>
      <c r="Q318" s="199"/>
    </row>
    <row r="319" spans="3:17" s="193" customFormat="1">
      <c r="C319" s="26"/>
      <c r="D319" s="115" t="s">
        <v>518</v>
      </c>
      <c r="E319" s="34">
        <v>47665</v>
      </c>
      <c r="F319" s="92" t="str">
        <f t="shared" si="16"/>
        <v>2030-31</v>
      </c>
      <c r="G319" s="199"/>
      <c r="H319" s="117" t="str">
        <f t="shared" si="17"/>
        <v>Mamre Rd</v>
      </c>
      <c r="I319" s="26">
        <f t="shared" si="17"/>
        <v>7189.7586453201966</v>
      </c>
      <c r="J319" s="100">
        <f t="shared" si="15"/>
        <v>1</v>
      </c>
      <c r="K319" s="37"/>
      <c r="L319" s="26"/>
      <c r="M319" s="26"/>
      <c r="N319" s="26"/>
      <c r="O319" s="95">
        <v>438266.26024224336</v>
      </c>
      <c r="P319" s="97">
        <f t="shared" si="18"/>
        <v>438266.26024224336</v>
      </c>
      <c r="Q319" s="199"/>
    </row>
    <row r="320" spans="3:17" s="193" customFormat="1">
      <c r="C320" s="26"/>
      <c r="D320" s="115" t="s">
        <v>519</v>
      </c>
      <c r="E320" s="34">
        <v>47665</v>
      </c>
      <c r="F320" s="92" t="str">
        <f t="shared" si="16"/>
        <v>2030-31</v>
      </c>
      <c r="G320" s="199"/>
      <c r="H320" s="117" t="str">
        <f t="shared" si="17"/>
        <v>Mamre Rd</v>
      </c>
      <c r="I320" s="26">
        <f t="shared" si="17"/>
        <v>7189.7586453201966</v>
      </c>
      <c r="J320" s="100">
        <f t="shared" si="15"/>
        <v>1</v>
      </c>
      <c r="K320" s="37"/>
      <c r="L320" s="26"/>
      <c r="M320" s="26"/>
      <c r="N320" s="26"/>
      <c r="O320" s="95">
        <v>792753.21404144273</v>
      </c>
      <c r="P320" s="97">
        <f t="shared" si="18"/>
        <v>792753.21404144273</v>
      </c>
      <c r="Q320" s="199"/>
    </row>
    <row r="321" spans="3:17" s="193" customFormat="1">
      <c r="C321" s="26"/>
      <c r="D321" s="115" t="s">
        <v>520</v>
      </c>
      <c r="E321" s="34">
        <v>47665</v>
      </c>
      <c r="F321" s="92" t="str">
        <f t="shared" si="16"/>
        <v>2030-31</v>
      </c>
      <c r="G321" s="199"/>
      <c r="H321" s="117" t="str">
        <f t="shared" si="17"/>
        <v>Mamre Rd</v>
      </c>
      <c r="I321" s="26">
        <f t="shared" si="17"/>
        <v>7189.7586453201966</v>
      </c>
      <c r="J321" s="100">
        <f t="shared" si="15"/>
        <v>1</v>
      </c>
      <c r="K321" s="37"/>
      <c r="L321" s="26"/>
      <c r="M321" s="26"/>
      <c r="N321" s="26"/>
      <c r="O321" s="95">
        <v>230227.006059999</v>
      </c>
      <c r="P321" s="97">
        <f t="shared" si="18"/>
        <v>230227.006059999</v>
      </c>
      <c r="Q321" s="199"/>
    </row>
    <row r="322" spans="3:17" s="193" customFormat="1">
      <c r="C322" s="26"/>
      <c r="D322" s="115" t="s">
        <v>521</v>
      </c>
      <c r="E322" s="34">
        <v>47665</v>
      </c>
      <c r="F322" s="92" t="str">
        <f t="shared" si="16"/>
        <v>2030-31</v>
      </c>
      <c r="G322" s="199"/>
      <c r="H322" s="117" t="str">
        <f t="shared" si="17"/>
        <v>Mamre Rd</v>
      </c>
      <c r="I322" s="26">
        <f t="shared" si="17"/>
        <v>7189.7586453201966</v>
      </c>
      <c r="J322" s="100">
        <f t="shared" si="15"/>
        <v>1</v>
      </c>
      <c r="K322" s="37"/>
      <c r="L322" s="26"/>
      <c r="M322" s="26"/>
      <c r="N322" s="26"/>
      <c r="O322" s="95">
        <v>50446.688525889134</v>
      </c>
      <c r="P322" s="97">
        <f t="shared" si="18"/>
        <v>50446.688525889134</v>
      </c>
      <c r="Q322" s="199"/>
    </row>
    <row r="323" spans="3:17" s="193" customFormat="1">
      <c r="C323" s="26"/>
      <c r="D323" s="115" t="s">
        <v>522</v>
      </c>
      <c r="E323" s="34">
        <v>47665</v>
      </c>
      <c r="F323" s="92" t="str">
        <f t="shared" si="16"/>
        <v>2030-31</v>
      </c>
      <c r="G323" s="199"/>
      <c r="H323" s="117" t="str">
        <f t="shared" si="17"/>
        <v>Mamre Rd</v>
      </c>
      <c r="I323" s="26">
        <f t="shared" si="17"/>
        <v>7189.7586453201966</v>
      </c>
      <c r="J323" s="100">
        <f t="shared" si="15"/>
        <v>1</v>
      </c>
      <c r="K323" s="37"/>
      <c r="L323" s="26"/>
      <c r="M323" s="26"/>
      <c r="N323" s="26"/>
      <c r="O323" s="95">
        <v>2544.0603681334692</v>
      </c>
      <c r="P323" s="97">
        <f t="shared" si="18"/>
        <v>2544.0603681334692</v>
      </c>
      <c r="Q323" s="199"/>
    </row>
    <row r="324" spans="3:17" s="193" customFormat="1">
      <c r="C324" s="26"/>
      <c r="D324" s="115" t="s">
        <v>523</v>
      </c>
      <c r="E324" s="34">
        <v>47665</v>
      </c>
      <c r="F324" s="92" t="str">
        <f t="shared" si="16"/>
        <v>2030-31</v>
      </c>
      <c r="G324" s="199"/>
      <c r="H324" s="117" t="str">
        <f t="shared" si="17"/>
        <v>Mamre Rd</v>
      </c>
      <c r="I324" s="26">
        <f t="shared" si="17"/>
        <v>7189.7586453201966</v>
      </c>
      <c r="J324" s="100">
        <f t="shared" si="15"/>
        <v>1</v>
      </c>
      <c r="K324" s="37"/>
      <c r="L324" s="26"/>
      <c r="M324" s="26"/>
      <c r="N324" s="26"/>
      <c r="O324" s="95">
        <v>29691.535066219552</v>
      </c>
      <c r="P324" s="97">
        <f t="shared" si="18"/>
        <v>29691.535066219552</v>
      </c>
      <c r="Q324" s="199"/>
    </row>
    <row r="325" spans="3:17" s="193" customFormat="1">
      <c r="C325" s="26"/>
      <c r="D325" s="115" t="s">
        <v>524</v>
      </c>
      <c r="E325" s="34">
        <v>47665</v>
      </c>
      <c r="F325" s="92" t="str">
        <f t="shared" si="16"/>
        <v>2030-31</v>
      </c>
      <c r="G325" s="199"/>
      <c r="H325" s="117" t="str">
        <f t="shared" si="17"/>
        <v>Mamre Rd</v>
      </c>
      <c r="I325" s="26">
        <f t="shared" si="17"/>
        <v>7189.7586453201966</v>
      </c>
      <c r="J325" s="100">
        <f t="shared" si="15"/>
        <v>1</v>
      </c>
      <c r="K325" s="37"/>
      <c r="L325" s="26"/>
      <c r="M325" s="26"/>
      <c r="N325" s="26"/>
      <c r="O325" s="95">
        <v>53378.139239343938</v>
      </c>
      <c r="P325" s="97">
        <f t="shared" si="18"/>
        <v>53378.139239343938</v>
      </c>
      <c r="Q325" s="199"/>
    </row>
    <row r="326" spans="3:17" s="193" customFormat="1">
      <c r="C326" s="26"/>
      <c r="D326" s="115" t="s">
        <v>525</v>
      </c>
      <c r="E326" s="34">
        <v>47665</v>
      </c>
      <c r="F326" s="92" t="str">
        <f t="shared" si="16"/>
        <v>2030-31</v>
      </c>
      <c r="G326" s="199"/>
      <c r="H326" s="117" t="str">
        <f t="shared" si="17"/>
        <v>Mamre Rd</v>
      </c>
      <c r="I326" s="26">
        <f t="shared" si="17"/>
        <v>7189.7586453201966</v>
      </c>
      <c r="J326" s="100">
        <f t="shared" si="15"/>
        <v>1</v>
      </c>
      <c r="K326" s="37"/>
      <c r="L326" s="26"/>
      <c r="M326" s="26"/>
      <c r="N326" s="26"/>
      <c r="O326" s="95">
        <v>56512.037559587516</v>
      </c>
      <c r="P326" s="97">
        <f t="shared" si="18"/>
        <v>56512.037559587516</v>
      </c>
      <c r="Q326" s="199"/>
    </row>
    <row r="327" spans="3:17" s="193" customFormat="1">
      <c r="C327" s="26"/>
      <c r="D327" s="115" t="s">
        <v>526</v>
      </c>
      <c r="E327" s="34">
        <v>47665</v>
      </c>
      <c r="F327" s="92" t="str">
        <f t="shared" si="16"/>
        <v>2030-31</v>
      </c>
      <c r="G327" s="199"/>
      <c r="H327" s="117" t="str">
        <f t="shared" si="17"/>
        <v>Mamre Rd</v>
      </c>
      <c r="I327" s="26">
        <f t="shared" si="17"/>
        <v>7189.7586453201966</v>
      </c>
      <c r="J327" s="100">
        <f t="shared" si="15"/>
        <v>1</v>
      </c>
      <c r="K327" s="37"/>
      <c r="L327" s="26"/>
      <c r="M327" s="26"/>
      <c r="N327" s="26"/>
      <c r="O327" s="95">
        <v>21880.792596664214</v>
      </c>
      <c r="P327" s="97">
        <f t="shared" si="18"/>
        <v>21880.792596664214</v>
      </c>
      <c r="Q327" s="199"/>
    </row>
    <row r="328" spans="3:17" s="193" customFormat="1">
      <c r="C328" s="26"/>
      <c r="D328" s="115" t="s">
        <v>527</v>
      </c>
      <c r="E328" s="34">
        <v>47665</v>
      </c>
      <c r="F328" s="92" t="str">
        <f t="shared" si="16"/>
        <v>2030-31</v>
      </c>
      <c r="G328" s="199"/>
      <c r="H328" s="117" t="str">
        <f t="shared" si="17"/>
        <v>Mamre Rd</v>
      </c>
      <c r="I328" s="26">
        <f t="shared" si="17"/>
        <v>7189.7586453201966</v>
      </c>
      <c r="J328" s="100">
        <f t="shared" si="15"/>
        <v>1</v>
      </c>
      <c r="K328" s="37"/>
      <c r="L328" s="26"/>
      <c r="M328" s="26"/>
      <c r="N328" s="26"/>
      <c r="O328" s="95">
        <v>39112.549781212947</v>
      </c>
      <c r="P328" s="97">
        <f t="shared" si="18"/>
        <v>39112.549781212947</v>
      </c>
      <c r="Q328" s="199"/>
    </row>
    <row r="329" spans="3:17" s="193" customFormat="1">
      <c r="C329" s="26"/>
      <c r="D329" s="115" t="s">
        <v>528</v>
      </c>
      <c r="E329" s="34">
        <v>47665</v>
      </c>
      <c r="F329" s="92" t="str">
        <f t="shared" si="16"/>
        <v>2030-31</v>
      </c>
      <c r="G329" s="199"/>
      <c r="H329" s="117" t="str">
        <f t="shared" si="17"/>
        <v>Mamre Rd</v>
      </c>
      <c r="I329" s="26">
        <f t="shared" si="17"/>
        <v>7189.7586453201966</v>
      </c>
      <c r="J329" s="100">
        <f t="shared" si="15"/>
        <v>1</v>
      </c>
      <c r="K329" s="37"/>
      <c r="L329" s="26"/>
      <c r="M329" s="26"/>
      <c r="N329" s="26"/>
      <c r="O329" s="95">
        <v>48801.537072808103</v>
      </c>
      <c r="P329" s="97">
        <f t="shared" si="18"/>
        <v>48801.537072808103</v>
      </c>
      <c r="Q329" s="199"/>
    </row>
    <row r="330" spans="3:17" s="193" customFormat="1">
      <c r="C330" s="26"/>
      <c r="D330" s="115" t="s">
        <v>529</v>
      </c>
      <c r="E330" s="34">
        <v>47665</v>
      </c>
      <c r="F330" s="92" t="str">
        <f t="shared" si="16"/>
        <v>2030-31</v>
      </c>
      <c r="G330" s="199"/>
      <c r="H330" s="117" t="str">
        <f t="shared" si="17"/>
        <v>Mamre Rd</v>
      </c>
      <c r="I330" s="26">
        <f t="shared" si="17"/>
        <v>7189.7586453201966</v>
      </c>
      <c r="J330" s="100">
        <f t="shared" si="15"/>
        <v>1</v>
      </c>
      <c r="K330" s="37"/>
      <c r="L330" s="26"/>
      <c r="M330" s="26"/>
      <c r="N330" s="26"/>
      <c r="O330" s="95">
        <v>1578718.278315837</v>
      </c>
      <c r="P330" s="97">
        <f t="shared" si="18"/>
        <v>1578718.278315837</v>
      </c>
      <c r="Q330" s="199"/>
    </row>
    <row r="331" spans="3:17" s="193" customFormat="1">
      <c r="C331" s="26"/>
      <c r="D331" s="115" t="s">
        <v>530</v>
      </c>
      <c r="E331" s="34">
        <v>47665</v>
      </c>
      <c r="F331" s="92" t="str">
        <f t="shared" si="16"/>
        <v>2030-31</v>
      </c>
      <c r="G331" s="199"/>
      <c r="H331" s="117" t="str">
        <f t="shared" si="17"/>
        <v>Mamre Rd</v>
      </c>
      <c r="I331" s="26">
        <f t="shared" si="17"/>
        <v>7189.7586453201966</v>
      </c>
      <c r="J331" s="100">
        <f t="shared" si="15"/>
        <v>1</v>
      </c>
      <c r="K331" s="37"/>
      <c r="L331" s="26"/>
      <c r="M331" s="26"/>
      <c r="N331" s="26"/>
      <c r="O331" s="95">
        <v>1343623.2431489108</v>
      </c>
      <c r="P331" s="97">
        <f t="shared" si="18"/>
        <v>1343623.2431489108</v>
      </c>
      <c r="Q331" s="199"/>
    </row>
    <row r="332" spans="3:17" s="193" customFormat="1">
      <c r="C332" s="26"/>
      <c r="D332" s="115" t="s">
        <v>531</v>
      </c>
      <c r="E332" s="34">
        <v>47665</v>
      </c>
      <c r="F332" s="92" t="str">
        <f t="shared" si="16"/>
        <v>2030-31</v>
      </c>
      <c r="G332" s="199"/>
      <c r="H332" s="117" t="str">
        <f t="shared" si="17"/>
        <v>Mamre Rd</v>
      </c>
      <c r="I332" s="26">
        <f t="shared" si="17"/>
        <v>7189.7586453201966</v>
      </c>
      <c r="J332" s="100">
        <f t="shared" si="15"/>
        <v>1</v>
      </c>
      <c r="K332" s="37"/>
      <c r="L332" s="26"/>
      <c r="M332" s="26"/>
      <c r="N332" s="26"/>
      <c r="O332" s="95">
        <v>34012.377068857204</v>
      </c>
      <c r="P332" s="97">
        <f t="shared" si="18"/>
        <v>34012.377068857204</v>
      </c>
      <c r="Q332" s="199"/>
    </row>
    <row r="333" spans="3:17" s="193" customFormat="1">
      <c r="C333" s="26"/>
      <c r="D333" s="115" t="s">
        <v>532</v>
      </c>
      <c r="E333" s="34">
        <v>47665</v>
      </c>
      <c r="F333" s="92" t="str">
        <f t="shared" si="16"/>
        <v>2030-31</v>
      </c>
      <c r="G333" s="199"/>
      <c r="H333" s="117" t="str">
        <f t="shared" si="17"/>
        <v>Mamre Rd</v>
      </c>
      <c r="I333" s="26">
        <f t="shared" si="17"/>
        <v>7189.7586453201966</v>
      </c>
      <c r="J333" s="100">
        <f t="shared" si="15"/>
        <v>1</v>
      </c>
      <c r="K333" s="37"/>
      <c r="L333" s="26"/>
      <c r="M333" s="26"/>
      <c r="N333" s="26"/>
      <c r="O333" s="95">
        <v>13190.355517524629</v>
      </c>
      <c r="P333" s="97">
        <f t="shared" si="18"/>
        <v>13190.355517524629</v>
      </c>
      <c r="Q333" s="199"/>
    </row>
    <row r="334" spans="3:17" s="193" customFormat="1">
      <c r="C334" s="26"/>
      <c r="D334" s="115" t="s">
        <v>533</v>
      </c>
      <c r="E334" s="34">
        <v>48030</v>
      </c>
      <c r="F334" s="92" t="str">
        <f t="shared" si="16"/>
        <v>2031-32</v>
      </c>
      <c r="G334" s="199"/>
      <c r="H334" s="117" t="str">
        <f t="shared" si="17"/>
        <v>Mamre Rd</v>
      </c>
      <c r="I334" s="26">
        <f t="shared" si="17"/>
        <v>7189.7586453201966</v>
      </c>
      <c r="J334" s="100">
        <f t="shared" si="15"/>
        <v>1</v>
      </c>
      <c r="K334" s="37"/>
      <c r="L334" s="26"/>
      <c r="M334" s="26"/>
      <c r="N334" s="26"/>
      <c r="O334" s="95">
        <v>73220.77269852582</v>
      </c>
      <c r="P334" s="97">
        <f t="shared" si="18"/>
        <v>73220.77269852582</v>
      </c>
      <c r="Q334" s="199"/>
    </row>
    <row r="335" spans="3:17" s="193" customFormat="1">
      <c r="C335" s="26"/>
      <c r="D335" s="115" t="s">
        <v>534</v>
      </c>
      <c r="E335" s="34">
        <v>48030</v>
      </c>
      <c r="F335" s="92" t="str">
        <f t="shared" si="16"/>
        <v>2031-32</v>
      </c>
      <c r="G335" s="199"/>
      <c r="H335" s="117" t="str">
        <f t="shared" si="17"/>
        <v>Mamre Rd</v>
      </c>
      <c r="I335" s="26">
        <f t="shared" si="17"/>
        <v>7189.7586453201966</v>
      </c>
      <c r="J335" s="100">
        <f t="shared" si="15"/>
        <v>1</v>
      </c>
      <c r="K335" s="37"/>
      <c r="L335" s="26"/>
      <c r="M335" s="26"/>
      <c r="N335" s="26"/>
      <c r="O335" s="95">
        <v>313233.7213845501</v>
      </c>
      <c r="P335" s="97">
        <f t="shared" si="18"/>
        <v>313233.7213845501</v>
      </c>
      <c r="Q335" s="199"/>
    </row>
    <row r="336" spans="3:17" s="193" customFormat="1">
      <c r="C336" s="26"/>
      <c r="D336" s="115" t="s">
        <v>535</v>
      </c>
      <c r="E336" s="34">
        <v>48030</v>
      </c>
      <c r="F336" s="92" t="str">
        <f t="shared" si="16"/>
        <v>2031-32</v>
      </c>
      <c r="G336" s="199"/>
      <c r="H336" s="117" t="str">
        <f t="shared" si="17"/>
        <v>Mamre Rd</v>
      </c>
      <c r="I336" s="26">
        <f t="shared" si="17"/>
        <v>7189.7586453201966</v>
      </c>
      <c r="J336" s="100">
        <f t="shared" si="15"/>
        <v>1</v>
      </c>
      <c r="K336" s="37"/>
      <c r="L336" s="26"/>
      <c r="M336" s="26"/>
      <c r="N336" s="26"/>
      <c r="O336" s="95">
        <v>219133.13012112168</v>
      </c>
      <c r="P336" s="97">
        <f t="shared" si="18"/>
        <v>219133.13012112168</v>
      </c>
      <c r="Q336" s="199"/>
    </row>
    <row r="337" spans="3:17">
      <c r="C337" s="26"/>
      <c r="D337" s="115" t="s">
        <v>536</v>
      </c>
      <c r="E337" s="34">
        <v>48030</v>
      </c>
      <c r="F337" s="92" t="str">
        <f t="shared" si="3"/>
        <v>2031-32</v>
      </c>
      <c r="G337" s="199"/>
      <c r="H337" s="117" t="str">
        <f t="shared" si="17"/>
        <v>Mamre Rd</v>
      </c>
      <c r="I337" s="26">
        <f t="shared" si="17"/>
        <v>7189.7586453201966</v>
      </c>
      <c r="J337" s="100">
        <v>1</v>
      </c>
      <c r="K337" s="37"/>
      <c r="L337" s="26"/>
      <c r="M337" s="26"/>
      <c r="N337" s="26"/>
      <c r="O337" s="95">
        <v>396376.60702072136</v>
      </c>
      <c r="P337" s="97">
        <f t="shared" si="5"/>
        <v>396376.60702072136</v>
      </c>
      <c r="Q337" s="199"/>
    </row>
    <row r="338" spans="3:17">
      <c r="C338" s="26"/>
      <c r="D338" s="115" t="s">
        <v>537</v>
      </c>
      <c r="E338" s="34">
        <v>48030</v>
      </c>
      <c r="F338" s="92" t="str">
        <f t="shared" si="3"/>
        <v>2031-32</v>
      </c>
      <c r="G338" s="199"/>
      <c r="H338" s="117" t="s">
        <v>197</v>
      </c>
      <c r="I338" s="26">
        <f t="shared" ref="I338:I401" si="19">I337</f>
        <v>7189.7586453201966</v>
      </c>
      <c r="J338" s="100">
        <v>1</v>
      </c>
      <c r="K338" s="37"/>
      <c r="L338" s="26"/>
      <c r="M338" s="26"/>
      <c r="N338" s="26"/>
      <c r="O338" s="95">
        <v>230227.00605999902</v>
      </c>
      <c r="P338" s="97">
        <f t="shared" si="5"/>
        <v>230227.00605999902</v>
      </c>
      <c r="Q338" s="199"/>
    </row>
    <row r="339" spans="3:17">
      <c r="C339" s="26"/>
      <c r="D339" s="115" t="s">
        <v>538</v>
      </c>
      <c r="E339" s="34">
        <v>48030</v>
      </c>
      <c r="F339" s="92" t="str">
        <f t="shared" si="3"/>
        <v>2031-32</v>
      </c>
      <c r="G339" s="199"/>
      <c r="H339" s="117" t="s">
        <v>197</v>
      </c>
      <c r="I339" s="26">
        <f t="shared" si="19"/>
        <v>7189.7586453201966</v>
      </c>
      <c r="J339" s="100">
        <v>1</v>
      </c>
      <c r="K339" s="37"/>
      <c r="L339" s="26"/>
      <c r="M339" s="26"/>
      <c r="N339" s="26"/>
      <c r="O339" s="95">
        <v>25223.344262944567</v>
      </c>
      <c r="P339" s="97">
        <f t="shared" si="5"/>
        <v>25223.344262944567</v>
      </c>
      <c r="Q339" s="199"/>
    </row>
    <row r="340" spans="3:17">
      <c r="C340" s="26"/>
      <c r="D340" s="115" t="s">
        <v>539</v>
      </c>
      <c r="E340" s="34">
        <v>48030</v>
      </c>
      <c r="F340" s="92" t="str">
        <f t="shared" si="3"/>
        <v>2031-32</v>
      </c>
      <c r="G340" s="199"/>
      <c r="H340" s="117" t="s">
        <v>197</v>
      </c>
      <c r="I340" s="26">
        <f t="shared" si="19"/>
        <v>7189.7586453201966</v>
      </c>
      <c r="J340" s="100">
        <v>1</v>
      </c>
      <c r="K340" s="37"/>
      <c r="L340" s="26"/>
      <c r="M340" s="26"/>
      <c r="N340" s="26"/>
      <c r="O340" s="95">
        <v>2544.0603681334692</v>
      </c>
      <c r="P340" s="97">
        <f t="shared" si="5"/>
        <v>2544.0603681334692</v>
      </c>
      <c r="Q340" s="199"/>
    </row>
    <row r="341" spans="3:17">
      <c r="C341" s="26"/>
      <c r="D341" s="115" t="s">
        <v>540</v>
      </c>
      <c r="E341" s="34">
        <v>48030</v>
      </c>
      <c r="F341" s="92" t="str">
        <f t="shared" si="3"/>
        <v>2031-32</v>
      </c>
      <c r="G341" s="199"/>
      <c r="H341" s="117" t="s">
        <v>197</v>
      </c>
      <c r="I341" s="26">
        <f t="shared" si="19"/>
        <v>7189.7586453201966</v>
      </c>
      <c r="J341" s="100">
        <v>1</v>
      </c>
      <c r="K341" s="37"/>
      <c r="L341" s="26"/>
      <c r="M341" s="26"/>
      <c r="N341" s="26"/>
      <c r="O341" s="95">
        <v>29691.535066219552</v>
      </c>
      <c r="P341" s="97">
        <f t="shared" si="5"/>
        <v>29691.535066219552</v>
      </c>
      <c r="Q341" s="199"/>
    </row>
    <row r="342" spans="3:17">
      <c r="C342" s="26"/>
      <c r="D342" s="115" t="s">
        <v>541</v>
      </c>
      <c r="E342" s="34">
        <v>48030</v>
      </c>
      <c r="F342" s="92" t="str">
        <f t="shared" si="3"/>
        <v>2031-32</v>
      </c>
      <c r="G342" s="199"/>
      <c r="H342" s="117" t="s">
        <v>197</v>
      </c>
      <c r="I342" s="26">
        <f t="shared" si="19"/>
        <v>7189.7586453201966</v>
      </c>
      <c r="J342" s="100">
        <v>1</v>
      </c>
      <c r="K342" s="37"/>
      <c r="L342" s="26"/>
      <c r="M342" s="26"/>
      <c r="N342" s="26"/>
      <c r="O342" s="95">
        <v>26689.069619671965</v>
      </c>
      <c r="P342" s="97">
        <f t="shared" si="5"/>
        <v>26689.069619671965</v>
      </c>
      <c r="Q342" s="199"/>
    </row>
    <row r="343" spans="3:17">
      <c r="C343" s="26"/>
      <c r="D343" s="115" t="s">
        <v>542</v>
      </c>
      <c r="E343" s="34">
        <v>48030</v>
      </c>
      <c r="F343" s="92" t="str">
        <f t="shared" si="3"/>
        <v>2031-32</v>
      </c>
      <c r="G343" s="199"/>
      <c r="H343" s="117" t="s">
        <v>197</v>
      </c>
      <c r="I343" s="26">
        <f t="shared" si="19"/>
        <v>7189.7586453201966</v>
      </c>
      <c r="J343" s="100">
        <v>1</v>
      </c>
      <c r="K343" s="37"/>
      <c r="L343" s="26"/>
      <c r="M343" s="26"/>
      <c r="N343" s="26"/>
      <c r="O343" s="95">
        <v>28256.018779793758</v>
      </c>
      <c r="P343" s="97">
        <f t="shared" si="5"/>
        <v>28256.018779793758</v>
      </c>
      <c r="Q343" s="199"/>
    </row>
    <row r="344" spans="3:17">
      <c r="C344" s="26"/>
      <c r="D344" s="115" t="s">
        <v>543</v>
      </c>
      <c r="E344" s="34">
        <v>48030</v>
      </c>
      <c r="F344" s="92" t="str">
        <f t="shared" si="3"/>
        <v>2031-32</v>
      </c>
      <c r="G344" s="199"/>
      <c r="H344" s="117" t="s">
        <v>197</v>
      </c>
      <c r="I344" s="26">
        <f t="shared" si="19"/>
        <v>7189.7586453201966</v>
      </c>
      <c r="J344" s="100">
        <v>1</v>
      </c>
      <c r="K344" s="37"/>
      <c r="L344" s="26"/>
      <c r="M344" s="26"/>
      <c r="N344" s="26"/>
      <c r="O344" s="95">
        <v>21880.792596664214</v>
      </c>
      <c r="P344" s="97">
        <f t="shared" si="5"/>
        <v>21880.792596664214</v>
      </c>
      <c r="Q344" s="199"/>
    </row>
    <row r="345" spans="3:17">
      <c r="C345" s="26"/>
      <c r="D345" s="115" t="s">
        <v>544</v>
      </c>
      <c r="E345" s="34">
        <v>48030</v>
      </c>
      <c r="F345" s="92" t="str">
        <f t="shared" si="3"/>
        <v>2031-32</v>
      </c>
      <c r="G345" s="199"/>
      <c r="H345" s="117" t="s">
        <v>197</v>
      </c>
      <c r="I345" s="26">
        <f t="shared" si="19"/>
        <v>7189.7586453201966</v>
      </c>
      <c r="J345" s="100">
        <v>1</v>
      </c>
      <c r="K345" s="37"/>
      <c r="L345" s="26"/>
      <c r="M345" s="26"/>
      <c r="N345" s="26"/>
      <c r="O345" s="95">
        <v>19556.274890606473</v>
      </c>
      <c r="P345" s="97">
        <f t="shared" si="5"/>
        <v>19556.274890606473</v>
      </c>
      <c r="Q345" s="199"/>
    </row>
    <row r="346" spans="3:17">
      <c r="C346" s="26"/>
      <c r="D346" s="115" t="s">
        <v>545</v>
      </c>
      <c r="E346" s="34">
        <v>48030</v>
      </c>
      <c r="F346" s="92" t="str">
        <f t="shared" si="3"/>
        <v>2031-32</v>
      </c>
      <c r="G346" s="199"/>
      <c r="H346" s="117" t="s">
        <v>197</v>
      </c>
      <c r="I346" s="26">
        <f t="shared" si="19"/>
        <v>7189.7586453201966</v>
      </c>
      <c r="J346" s="100">
        <v>1</v>
      </c>
      <c r="K346" s="37"/>
      <c r="L346" s="26"/>
      <c r="M346" s="26"/>
      <c r="N346" s="26"/>
      <c r="O346" s="95">
        <v>741033.47776999942</v>
      </c>
      <c r="P346" s="97">
        <f t="shared" si="5"/>
        <v>741033.47776999942</v>
      </c>
      <c r="Q346" s="199"/>
    </row>
    <row r="347" spans="3:17">
      <c r="C347" s="26"/>
      <c r="D347" s="115" t="s">
        <v>546</v>
      </c>
      <c r="E347" s="34">
        <v>48030</v>
      </c>
      <c r="F347" s="92" t="str">
        <f t="shared" si="3"/>
        <v>2031-32</v>
      </c>
      <c r="G347" s="199"/>
      <c r="H347" s="117" t="s">
        <v>197</v>
      </c>
      <c r="I347" s="26">
        <f t="shared" si="19"/>
        <v>7189.7586453201966</v>
      </c>
      <c r="J347" s="100">
        <v>1</v>
      </c>
      <c r="K347" s="37"/>
      <c r="L347" s="26"/>
      <c r="M347" s="26"/>
      <c r="N347" s="26"/>
      <c r="O347" s="95">
        <v>1331896.9606224813</v>
      </c>
      <c r="P347" s="97">
        <f t="shared" si="5"/>
        <v>1331896.9606224813</v>
      </c>
      <c r="Q347" s="199"/>
    </row>
    <row r="348" spans="3:17">
      <c r="C348" s="26"/>
      <c r="D348" s="115" t="s">
        <v>547</v>
      </c>
      <c r="E348" s="34">
        <v>48030</v>
      </c>
      <c r="F348" s="92" t="str">
        <f t="shared" si="3"/>
        <v>2031-32</v>
      </c>
      <c r="G348" s="199"/>
      <c r="H348" s="117" t="s">
        <v>197</v>
      </c>
      <c r="I348" s="26">
        <f t="shared" si="19"/>
        <v>7189.7586453201966</v>
      </c>
      <c r="J348" s="100">
        <v>1</v>
      </c>
      <c r="K348" s="37"/>
      <c r="L348" s="26"/>
      <c r="M348" s="26"/>
      <c r="N348" s="26"/>
      <c r="O348" s="95">
        <v>283014.17720854958</v>
      </c>
      <c r="P348" s="97">
        <f t="shared" si="5"/>
        <v>283014.17720854958</v>
      </c>
      <c r="Q348" s="199"/>
    </row>
    <row r="349" spans="3:17">
      <c r="C349" s="26"/>
      <c r="D349" s="115" t="s">
        <v>548</v>
      </c>
      <c r="E349" s="34">
        <v>48030</v>
      </c>
      <c r="F349" s="92" t="str">
        <f t="shared" si="3"/>
        <v>2031-32</v>
      </c>
      <c r="G349" s="199"/>
      <c r="H349" s="117" t="s">
        <v>197</v>
      </c>
      <c r="I349" s="26">
        <f t="shared" si="19"/>
        <v>7189.7586453201966</v>
      </c>
      <c r="J349" s="100">
        <v>1</v>
      </c>
      <c r="K349" s="37"/>
      <c r="L349" s="26"/>
      <c r="M349" s="26"/>
      <c r="N349" s="26"/>
      <c r="O349" s="95">
        <v>1392966.4401007949</v>
      </c>
      <c r="P349" s="97">
        <f t="shared" si="5"/>
        <v>1392966.4401007949</v>
      </c>
      <c r="Q349" s="199"/>
    </row>
    <row r="350" spans="3:17">
      <c r="C350" s="26"/>
      <c r="D350" s="115" t="s">
        <v>549</v>
      </c>
      <c r="E350" s="34">
        <v>48030</v>
      </c>
      <c r="F350" s="92" t="str">
        <f t="shared" si="3"/>
        <v>2031-32</v>
      </c>
      <c r="G350" s="199"/>
      <c r="H350" s="117" t="s">
        <v>197</v>
      </c>
      <c r="I350" s="26">
        <f t="shared" si="19"/>
        <v>7189.7586453201966</v>
      </c>
      <c r="J350" s="100">
        <v>1</v>
      </c>
      <c r="K350" s="37"/>
      <c r="L350" s="26"/>
      <c r="M350" s="26"/>
      <c r="N350" s="26"/>
      <c r="O350" s="95">
        <v>119043.3197410002</v>
      </c>
      <c r="P350" s="97">
        <f t="shared" si="5"/>
        <v>119043.3197410002</v>
      </c>
      <c r="Q350" s="199"/>
    </row>
    <row r="351" spans="3:17">
      <c r="C351" s="26"/>
      <c r="D351" s="115" t="s">
        <v>550</v>
      </c>
      <c r="E351" s="34">
        <v>48030</v>
      </c>
      <c r="F351" s="92" t="str">
        <f t="shared" si="3"/>
        <v>2031-32</v>
      </c>
      <c r="G351" s="199"/>
      <c r="H351" s="117" t="s">
        <v>197</v>
      </c>
      <c r="I351" s="26">
        <f t="shared" si="19"/>
        <v>7189.7586453201966</v>
      </c>
      <c r="J351" s="100">
        <v>1</v>
      </c>
      <c r="K351" s="37"/>
      <c r="L351" s="26"/>
      <c r="M351" s="26"/>
      <c r="N351" s="26"/>
      <c r="O351" s="95">
        <v>340.22235638430612</v>
      </c>
      <c r="P351" s="97">
        <f t="shared" si="5"/>
        <v>340.22235638430612</v>
      </c>
      <c r="Q351" s="199"/>
    </row>
    <row r="352" spans="3:17">
      <c r="C352" s="26"/>
      <c r="D352" s="115" t="s">
        <v>551</v>
      </c>
      <c r="E352" s="34">
        <v>48396</v>
      </c>
      <c r="F352" s="92" t="str">
        <f t="shared" si="3"/>
        <v>2032-33</v>
      </c>
      <c r="G352" s="199"/>
      <c r="H352" s="117" t="s">
        <v>197</v>
      </c>
      <c r="I352" s="26">
        <f t="shared" si="19"/>
        <v>7189.7586453201966</v>
      </c>
      <c r="J352" s="100">
        <v>1</v>
      </c>
      <c r="K352" s="37"/>
      <c r="L352" s="26"/>
      <c r="M352" s="26"/>
      <c r="N352" s="26"/>
      <c r="O352" s="95">
        <v>73220.77269852582</v>
      </c>
      <c r="P352" s="97">
        <f t="shared" si="5"/>
        <v>73220.77269852582</v>
      </c>
      <c r="Q352" s="199"/>
    </row>
    <row r="353" spans="3:17">
      <c r="C353" s="26"/>
      <c r="D353" s="115" t="s">
        <v>552</v>
      </c>
      <c r="E353" s="34">
        <v>48396</v>
      </c>
      <c r="F353" s="92" t="str">
        <f t="shared" si="3"/>
        <v>2032-33</v>
      </c>
      <c r="G353" s="199"/>
      <c r="H353" s="117" t="s">
        <v>197</v>
      </c>
      <c r="I353" s="26">
        <f t="shared" si="19"/>
        <v>7189.7586453201966</v>
      </c>
      <c r="J353" s="100">
        <v>1</v>
      </c>
      <c r="K353" s="37"/>
      <c r="L353" s="26"/>
      <c r="M353" s="26"/>
      <c r="N353" s="26"/>
      <c r="O353" s="95">
        <v>313233.7213845501</v>
      </c>
      <c r="P353" s="97">
        <f t="shared" si="5"/>
        <v>313233.7213845501</v>
      </c>
      <c r="Q353" s="199"/>
    </row>
    <row r="354" spans="3:17">
      <c r="C354" s="26"/>
      <c r="D354" s="115" t="s">
        <v>553</v>
      </c>
      <c r="E354" s="34">
        <v>48396</v>
      </c>
      <c r="F354" s="92" t="str">
        <f t="shared" si="3"/>
        <v>2032-33</v>
      </c>
      <c r="G354" s="199"/>
      <c r="H354" s="117" t="s">
        <v>197</v>
      </c>
      <c r="I354" s="26">
        <f t="shared" si="19"/>
        <v>7189.7586453201966</v>
      </c>
      <c r="J354" s="100">
        <v>1</v>
      </c>
      <c r="K354" s="37"/>
      <c r="L354" s="26"/>
      <c r="M354" s="26"/>
      <c r="N354" s="26"/>
      <c r="O354" s="95">
        <v>219133.13012112168</v>
      </c>
      <c r="P354" s="97">
        <f t="shared" si="5"/>
        <v>219133.13012112168</v>
      </c>
      <c r="Q354" s="199"/>
    </row>
    <row r="355" spans="3:17">
      <c r="C355" s="26"/>
      <c r="D355" s="115" t="s">
        <v>554</v>
      </c>
      <c r="E355" s="34">
        <v>48396</v>
      </c>
      <c r="F355" s="92" t="str">
        <f t="shared" si="3"/>
        <v>2032-33</v>
      </c>
      <c r="G355" s="199"/>
      <c r="H355" s="117" t="s">
        <v>197</v>
      </c>
      <c r="I355" s="26">
        <f t="shared" si="19"/>
        <v>7189.7586453201966</v>
      </c>
      <c r="J355" s="100">
        <v>1</v>
      </c>
      <c r="K355" s="37"/>
      <c r="L355" s="26"/>
      <c r="M355" s="26"/>
      <c r="N355" s="26"/>
      <c r="O355" s="95">
        <v>396376.60702072136</v>
      </c>
      <c r="P355" s="97">
        <f t="shared" si="5"/>
        <v>396376.60702072136</v>
      </c>
      <c r="Q355" s="199"/>
    </row>
    <row r="356" spans="3:17">
      <c r="C356" s="26"/>
      <c r="D356" s="115" t="s">
        <v>555</v>
      </c>
      <c r="E356" s="34">
        <v>48396</v>
      </c>
      <c r="F356" s="92" t="str">
        <f t="shared" si="3"/>
        <v>2032-33</v>
      </c>
      <c r="G356" s="199"/>
      <c r="H356" s="117" t="s">
        <v>197</v>
      </c>
      <c r="I356" s="26">
        <f t="shared" si="19"/>
        <v>7189.7586453201966</v>
      </c>
      <c r="J356" s="100">
        <v>1</v>
      </c>
      <c r="K356" s="37"/>
      <c r="L356" s="26"/>
      <c r="M356" s="26"/>
      <c r="N356" s="26"/>
      <c r="O356" s="95">
        <v>230227.00605999902</v>
      </c>
      <c r="P356" s="97">
        <f t="shared" si="5"/>
        <v>230227.00605999902</v>
      </c>
      <c r="Q356" s="199"/>
    </row>
    <row r="357" spans="3:17">
      <c r="C357" s="26"/>
      <c r="D357" s="115" t="s">
        <v>556</v>
      </c>
      <c r="E357" s="34">
        <v>48396</v>
      </c>
      <c r="F357" s="92" t="str">
        <f t="shared" si="3"/>
        <v>2032-33</v>
      </c>
      <c r="G357" s="199"/>
      <c r="H357" s="117" t="s">
        <v>197</v>
      </c>
      <c r="I357" s="26">
        <f t="shared" si="19"/>
        <v>7189.7586453201966</v>
      </c>
      <c r="J357" s="100">
        <v>1</v>
      </c>
      <c r="K357" s="37"/>
      <c r="L357" s="26"/>
      <c r="M357" s="26"/>
      <c r="N357" s="26"/>
      <c r="O357" s="95">
        <v>25223.344262944567</v>
      </c>
      <c r="P357" s="97">
        <f t="shared" si="5"/>
        <v>25223.344262944567</v>
      </c>
      <c r="Q357" s="199"/>
    </row>
    <row r="358" spans="3:17">
      <c r="C358" s="26"/>
      <c r="D358" s="115" t="s">
        <v>557</v>
      </c>
      <c r="E358" s="34">
        <v>48396</v>
      </c>
      <c r="F358" s="92" t="str">
        <f t="shared" si="3"/>
        <v>2032-33</v>
      </c>
      <c r="G358" s="199"/>
      <c r="H358" s="117" t="s">
        <v>197</v>
      </c>
      <c r="I358" s="26">
        <f t="shared" si="19"/>
        <v>7189.7586453201966</v>
      </c>
      <c r="J358" s="100">
        <v>1</v>
      </c>
      <c r="K358" s="37"/>
      <c r="L358" s="26"/>
      <c r="M358" s="26"/>
      <c r="N358" s="26"/>
      <c r="O358" s="95">
        <v>2544.0603681334692</v>
      </c>
      <c r="P358" s="97">
        <f t="shared" si="5"/>
        <v>2544.0603681334692</v>
      </c>
      <c r="Q358" s="199"/>
    </row>
    <row r="359" spans="3:17">
      <c r="C359" s="26"/>
      <c r="D359" s="115" t="s">
        <v>558</v>
      </c>
      <c r="E359" s="34">
        <v>48396</v>
      </c>
      <c r="F359" s="92" t="str">
        <f t="shared" si="3"/>
        <v>2032-33</v>
      </c>
      <c r="G359" s="199"/>
      <c r="H359" s="117" t="s">
        <v>197</v>
      </c>
      <c r="I359" s="26">
        <f t="shared" si="19"/>
        <v>7189.7586453201966</v>
      </c>
      <c r="J359" s="100">
        <v>1</v>
      </c>
      <c r="K359" s="37"/>
      <c r="L359" s="26"/>
      <c r="M359" s="26"/>
      <c r="N359" s="26"/>
      <c r="O359" s="95">
        <v>29691.535066219552</v>
      </c>
      <c r="P359" s="97">
        <f t="shared" si="5"/>
        <v>29691.535066219552</v>
      </c>
      <c r="Q359" s="199"/>
    </row>
    <row r="360" spans="3:17">
      <c r="C360" s="26"/>
      <c r="D360" s="115" t="s">
        <v>559</v>
      </c>
      <c r="E360" s="34">
        <v>48396</v>
      </c>
      <c r="F360" s="92" t="str">
        <f t="shared" si="3"/>
        <v>2032-33</v>
      </c>
      <c r="G360" s="199"/>
      <c r="H360" s="117" t="s">
        <v>197</v>
      </c>
      <c r="I360" s="26">
        <f t="shared" si="19"/>
        <v>7189.7586453201966</v>
      </c>
      <c r="J360" s="100">
        <v>1</v>
      </c>
      <c r="K360" s="37"/>
      <c r="L360" s="26"/>
      <c r="M360" s="26"/>
      <c r="N360" s="26"/>
      <c r="O360" s="95">
        <v>26689.069619671965</v>
      </c>
      <c r="P360" s="97">
        <f t="shared" si="5"/>
        <v>26689.069619671965</v>
      </c>
      <c r="Q360" s="199"/>
    </row>
    <row r="361" spans="3:17">
      <c r="C361" s="26"/>
      <c r="D361" s="115" t="s">
        <v>560</v>
      </c>
      <c r="E361" s="34">
        <v>48396</v>
      </c>
      <c r="F361" s="92" t="str">
        <f t="shared" ref="F361:F424" si="20">IF(E361="","-",IF(E361&lt;$E$15,"ERROR - date outside of range",IF(MONTH(E361)&gt;=7,YEAR(E361)&amp;"-"&amp;RIGHT(YEAR(E361),2)+1,YEAR(E361)-1&amp;"-"&amp;RIGHT(YEAR(E361),2))))</f>
        <v>2032-33</v>
      </c>
      <c r="G361" s="199"/>
      <c r="H361" s="117" t="s">
        <v>197</v>
      </c>
      <c r="I361" s="26">
        <f t="shared" si="19"/>
        <v>7189.7586453201966</v>
      </c>
      <c r="J361" s="100">
        <v>1</v>
      </c>
      <c r="K361" s="37"/>
      <c r="L361" s="26"/>
      <c r="M361" s="26"/>
      <c r="N361" s="26"/>
      <c r="O361" s="95">
        <v>28256.018779793758</v>
      </c>
      <c r="P361" s="97">
        <f t="shared" ref="P361:P424" si="21">IF(O361="-","-",IF(E361&lt;$E$15,0,O361*J361))</f>
        <v>28256.018779793758</v>
      </c>
      <c r="Q361" s="199"/>
    </row>
    <row r="362" spans="3:17">
      <c r="C362" s="26"/>
      <c r="D362" s="115" t="s">
        <v>561</v>
      </c>
      <c r="E362" s="34">
        <v>48396</v>
      </c>
      <c r="F362" s="92" t="str">
        <f t="shared" si="20"/>
        <v>2032-33</v>
      </c>
      <c r="G362" s="199"/>
      <c r="H362" s="117" t="s">
        <v>197</v>
      </c>
      <c r="I362" s="26">
        <f t="shared" si="19"/>
        <v>7189.7586453201966</v>
      </c>
      <c r="J362" s="100">
        <v>1</v>
      </c>
      <c r="K362" s="37"/>
      <c r="L362" s="26"/>
      <c r="M362" s="26"/>
      <c r="N362" s="26"/>
      <c r="O362" s="95">
        <v>21880.792596664214</v>
      </c>
      <c r="P362" s="97">
        <f t="shared" si="21"/>
        <v>21880.792596664214</v>
      </c>
      <c r="Q362" s="199"/>
    </row>
    <row r="363" spans="3:17">
      <c r="C363" s="26"/>
      <c r="D363" s="115" t="s">
        <v>562</v>
      </c>
      <c r="E363" s="34">
        <v>48396</v>
      </c>
      <c r="F363" s="92" t="str">
        <f t="shared" si="20"/>
        <v>2032-33</v>
      </c>
      <c r="G363" s="199"/>
      <c r="H363" s="117" t="s">
        <v>197</v>
      </c>
      <c r="I363" s="26">
        <f t="shared" si="19"/>
        <v>7189.7586453201966</v>
      </c>
      <c r="J363" s="100">
        <v>1</v>
      </c>
      <c r="K363" s="37"/>
      <c r="L363" s="26"/>
      <c r="M363" s="26"/>
      <c r="N363" s="26"/>
      <c r="O363" s="95">
        <v>19556.274890606473</v>
      </c>
      <c r="P363" s="97">
        <f t="shared" si="21"/>
        <v>19556.274890606473</v>
      </c>
      <c r="Q363" s="199"/>
    </row>
    <row r="364" spans="3:17">
      <c r="C364" s="26"/>
      <c r="D364" s="115" t="s">
        <v>563</v>
      </c>
      <c r="E364" s="34">
        <v>48396</v>
      </c>
      <c r="F364" s="92" t="str">
        <f t="shared" si="20"/>
        <v>2032-33</v>
      </c>
      <c r="G364" s="199"/>
      <c r="H364" s="117" t="s">
        <v>197</v>
      </c>
      <c r="I364" s="26">
        <f t="shared" si="19"/>
        <v>7189.7586453201966</v>
      </c>
      <c r="J364" s="100">
        <v>1</v>
      </c>
      <c r="K364" s="37"/>
      <c r="L364" s="26"/>
      <c r="M364" s="26"/>
      <c r="N364" s="26"/>
      <c r="O364" s="95">
        <v>789359.13915791863</v>
      </c>
      <c r="P364" s="97">
        <f t="shared" si="21"/>
        <v>789359.13915791863</v>
      </c>
      <c r="Q364" s="199"/>
    </row>
    <row r="365" spans="3:17">
      <c r="C365" s="26"/>
      <c r="D365" s="115" t="s">
        <v>564</v>
      </c>
      <c r="E365" s="34">
        <v>48396</v>
      </c>
      <c r="F365" s="92" t="str">
        <f t="shared" si="20"/>
        <v>2032-33</v>
      </c>
      <c r="G365" s="199"/>
      <c r="H365" s="117" t="s">
        <v>197</v>
      </c>
      <c r="I365" s="26">
        <f t="shared" si="19"/>
        <v>7189.7586453201966</v>
      </c>
      <c r="J365" s="100">
        <v>1</v>
      </c>
      <c r="K365" s="37"/>
      <c r="L365" s="26"/>
      <c r="M365" s="26"/>
      <c r="N365" s="26"/>
      <c r="O365" s="95">
        <v>494022.31851333292</v>
      </c>
      <c r="P365" s="97">
        <f t="shared" si="21"/>
        <v>494022.31851333292</v>
      </c>
      <c r="Q365" s="199"/>
    </row>
    <row r="366" spans="3:17">
      <c r="C366" s="26"/>
      <c r="D366" s="115" t="s">
        <v>565</v>
      </c>
      <c r="E366" s="34">
        <v>48396</v>
      </c>
      <c r="F366" s="92" t="str">
        <f t="shared" si="20"/>
        <v>2032-33</v>
      </c>
      <c r="G366" s="199"/>
      <c r="H366" s="117" t="s">
        <v>197</v>
      </c>
      <c r="I366" s="26">
        <f t="shared" si="19"/>
        <v>7189.7586453201966</v>
      </c>
      <c r="J366" s="100">
        <v>1</v>
      </c>
      <c r="K366" s="37"/>
      <c r="L366" s="26"/>
      <c r="M366" s="26"/>
      <c r="N366" s="26"/>
      <c r="O366" s="95">
        <v>887931.3070816542</v>
      </c>
      <c r="P366" s="97">
        <f t="shared" si="21"/>
        <v>887931.3070816542</v>
      </c>
      <c r="Q366" s="199"/>
    </row>
    <row r="367" spans="3:17">
      <c r="C367" s="26"/>
      <c r="D367" s="115" t="s">
        <v>566</v>
      </c>
      <c r="E367" s="34">
        <v>48396</v>
      </c>
      <c r="F367" s="92" t="str">
        <f t="shared" si="20"/>
        <v>2032-33</v>
      </c>
      <c r="G367" s="199"/>
      <c r="H367" s="117" t="s">
        <v>197</v>
      </c>
      <c r="I367" s="26">
        <f t="shared" si="19"/>
        <v>7189.7586453201966</v>
      </c>
      <c r="J367" s="100">
        <v>1</v>
      </c>
      <c r="K367" s="37"/>
      <c r="L367" s="26"/>
      <c r="M367" s="26"/>
      <c r="N367" s="26"/>
      <c r="O367" s="95">
        <v>1436171.3803428567</v>
      </c>
      <c r="P367" s="97">
        <f t="shared" si="21"/>
        <v>1436171.3803428567</v>
      </c>
      <c r="Q367" s="199"/>
    </row>
    <row r="368" spans="3:17">
      <c r="C368" s="26"/>
      <c r="D368" s="115" t="s">
        <v>567</v>
      </c>
      <c r="E368" s="34">
        <v>48396</v>
      </c>
      <c r="F368" s="92" t="str">
        <f t="shared" si="20"/>
        <v>2032-33</v>
      </c>
      <c r="G368" s="199"/>
      <c r="H368" s="117" t="s">
        <v>197</v>
      </c>
      <c r="I368" s="26">
        <f t="shared" si="19"/>
        <v>7189.7586453201966</v>
      </c>
      <c r="J368" s="100">
        <v>1</v>
      </c>
      <c r="K368" s="37"/>
      <c r="L368" s="26"/>
      <c r="M368" s="26"/>
      <c r="N368" s="26"/>
      <c r="O368" s="95">
        <v>204074.26241314324</v>
      </c>
      <c r="P368" s="97">
        <f t="shared" si="21"/>
        <v>204074.26241314324</v>
      </c>
      <c r="Q368" s="199"/>
    </row>
    <row r="369" spans="3:17">
      <c r="C369" s="26"/>
      <c r="D369" s="115" t="s">
        <v>568</v>
      </c>
      <c r="E369" s="34">
        <v>48396</v>
      </c>
      <c r="F369" s="92" t="str">
        <f t="shared" si="20"/>
        <v>2032-33</v>
      </c>
      <c r="G369" s="199"/>
      <c r="H369" s="117" t="s">
        <v>197</v>
      </c>
      <c r="I369" s="26">
        <f t="shared" si="19"/>
        <v>7189.7586453201966</v>
      </c>
      <c r="J369" s="100">
        <v>1</v>
      </c>
      <c r="K369" s="37"/>
      <c r="L369" s="26"/>
      <c r="M369" s="26"/>
      <c r="N369" s="26"/>
      <c r="O369" s="95">
        <v>10206.670691529182</v>
      </c>
      <c r="P369" s="97">
        <f t="shared" si="21"/>
        <v>10206.670691529182</v>
      </c>
      <c r="Q369" s="199"/>
    </row>
    <row r="370" spans="3:17">
      <c r="C370" s="26"/>
      <c r="D370" s="115" t="s">
        <v>569</v>
      </c>
      <c r="E370" s="34">
        <v>48396</v>
      </c>
      <c r="F370" s="92" t="str">
        <f t="shared" si="20"/>
        <v>2032-33</v>
      </c>
      <c r="G370" s="199"/>
      <c r="H370" s="117" t="s">
        <v>197</v>
      </c>
      <c r="I370" s="26">
        <f t="shared" si="19"/>
        <v>7189.7586453201966</v>
      </c>
      <c r="J370" s="100">
        <v>1</v>
      </c>
      <c r="K370" s="37"/>
      <c r="L370" s="26"/>
      <c r="M370" s="26"/>
      <c r="N370" s="26"/>
      <c r="O370" s="95">
        <v>184631.8508481241</v>
      </c>
      <c r="P370" s="97">
        <f t="shared" si="21"/>
        <v>184631.8508481241</v>
      </c>
      <c r="Q370" s="199"/>
    </row>
    <row r="371" spans="3:17">
      <c r="C371" s="26"/>
      <c r="D371" s="115" t="s">
        <v>570</v>
      </c>
      <c r="E371" s="34">
        <v>48761</v>
      </c>
      <c r="F371" s="92" t="str">
        <f t="shared" si="20"/>
        <v>2033-34</v>
      </c>
      <c r="G371" s="199"/>
      <c r="H371" s="117" t="s">
        <v>197</v>
      </c>
      <c r="I371" s="26">
        <f t="shared" si="19"/>
        <v>7189.7586453201966</v>
      </c>
      <c r="J371" s="100">
        <v>1</v>
      </c>
      <c r="K371" s="37"/>
      <c r="L371" s="26"/>
      <c r="M371" s="26"/>
      <c r="N371" s="26"/>
      <c r="O371" s="95">
        <v>73220.77269852582</v>
      </c>
      <c r="P371" s="97">
        <f t="shared" si="21"/>
        <v>73220.77269852582</v>
      </c>
      <c r="Q371" s="199"/>
    </row>
    <row r="372" spans="3:17">
      <c r="C372" s="26"/>
      <c r="D372" s="115" t="s">
        <v>571</v>
      </c>
      <c r="E372" s="34">
        <v>48761</v>
      </c>
      <c r="F372" s="92" t="str">
        <f t="shared" si="20"/>
        <v>2033-34</v>
      </c>
      <c r="G372" s="199"/>
      <c r="H372" s="117" t="s">
        <v>197</v>
      </c>
      <c r="I372" s="26">
        <f t="shared" si="19"/>
        <v>7189.7586453201966</v>
      </c>
      <c r="J372" s="100">
        <v>1</v>
      </c>
      <c r="K372" s="37"/>
      <c r="L372" s="26"/>
      <c r="M372" s="26"/>
      <c r="N372" s="26"/>
      <c r="O372" s="95">
        <v>313233.7213845501</v>
      </c>
      <c r="P372" s="97">
        <f t="shared" si="21"/>
        <v>313233.7213845501</v>
      </c>
      <c r="Q372" s="199"/>
    </row>
    <row r="373" spans="3:17">
      <c r="C373" s="26"/>
      <c r="D373" s="115" t="s">
        <v>572</v>
      </c>
      <c r="E373" s="34">
        <v>48761</v>
      </c>
      <c r="F373" s="92" t="str">
        <f t="shared" si="20"/>
        <v>2033-34</v>
      </c>
      <c r="G373" s="199"/>
      <c r="H373" s="117" t="s">
        <v>197</v>
      </c>
      <c r="I373" s="26">
        <f t="shared" si="19"/>
        <v>7189.7586453201966</v>
      </c>
      <c r="J373" s="100">
        <v>1</v>
      </c>
      <c r="K373" s="37"/>
      <c r="L373" s="26"/>
      <c r="M373" s="26"/>
      <c r="N373" s="26"/>
      <c r="O373" s="95">
        <v>219133.13012112168</v>
      </c>
      <c r="P373" s="97">
        <f t="shared" si="21"/>
        <v>219133.13012112168</v>
      </c>
      <c r="Q373" s="199"/>
    </row>
    <row r="374" spans="3:17">
      <c r="C374" s="26"/>
      <c r="D374" s="115" t="s">
        <v>573</v>
      </c>
      <c r="E374" s="34">
        <v>48761</v>
      </c>
      <c r="F374" s="92" t="str">
        <f t="shared" si="20"/>
        <v>2033-34</v>
      </c>
      <c r="G374" s="199"/>
      <c r="H374" s="117" t="s">
        <v>197</v>
      </c>
      <c r="I374" s="26">
        <f t="shared" si="19"/>
        <v>7189.7586453201966</v>
      </c>
      <c r="J374" s="100">
        <v>1</v>
      </c>
      <c r="K374" s="37"/>
      <c r="L374" s="26"/>
      <c r="M374" s="26"/>
      <c r="N374" s="26"/>
      <c r="O374" s="95">
        <v>792753.21404144273</v>
      </c>
      <c r="P374" s="97">
        <f t="shared" si="21"/>
        <v>792753.21404144273</v>
      </c>
      <c r="Q374" s="199"/>
    </row>
    <row r="375" spans="3:17">
      <c r="C375" s="26"/>
      <c r="D375" s="115" t="s">
        <v>574</v>
      </c>
      <c r="E375" s="34">
        <v>48761</v>
      </c>
      <c r="F375" s="92" t="str">
        <f t="shared" si="20"/>
        <v>2033-34</v>
      </c>
      <c r="G375" s="199"/>
      <c r="H375" s="117" t="s">
        <v>197</v>
      </c>
      <c r="I375" s="26">
        <f t="shared" si="19"/>
        <v>7189.7586453201966</v>
      </c>
      <c r="J375" s="100">
        <v>1</v>
      </c>
      <c r="K375" s="37"/>
      <c r="L375" s="26"/>
      <c r="M375" s="26"/>
      <c r="N375" s="26"/>
      <c r="O375" s="95">
        <v>460454.01211999805</v>
      </c>
      <c r="P375" s="97">
        <f t="shared" si="21"/>
        <v>460454.01211999805</v>
      </c>
      <c r="Q375" s="199"/>
    </row>
    <row r="376" spans="3:17">
      <c r="C376" s="26"/>
      <c r="D376" s="115" t="s">
        <v>575</v>
      </c>
      <c r="E376" s="34">
        <v>48761</v>
      </c>
      <c r="F376" s="92" t="str">
        <f t="shared" si="20"/>
        <v>2033-34</v>
      </c>
      <c r="G376" s="199"/>
      <c r="H376" s="117" t="s">
        <v>197</v>
      </c>
      <c r="I376" s="26">
        <f t="shared" si="19"/>
        <v>7189.7586453201966</v>
      </c>
      <c r="J376" s="100">
        <v>1</v>
      </c>
      <c r="K376" s="37"/>
      <c r="L376" s="26"/>
      <c r="M376" s="26"/>
      <c r="N376" s="26"/>
      <c r="O376" s="95">
        <v>50446.688525889134</v>
      </c>
      <c r="P376" s="97">
        <f t="shared" si="21"/>
        <v>50446.688525889134</v>
      </c>
      <c r="Q376" s="199"/>
    </row>
    <row r="377" spans="3:17">
      <c r="C377" s="26"/>
      <c r="D377" s="115" t="s">
        <v>576</v>
      </c>
      <c r="E377" s="34">
        <v>48761</v>
      </c>
      <c r="F377" s="92" t="str">
        <f t="shared" si="20"/>
        <v>2033-34</v>
      </c>
      <c r="G377" s="199"/>
      <c r="H377" s="117" t="s">
        <v>197</v>
      </c>
      <c r="I377" s="26">
        <f t="shared" si="19"/>
        <v>7189.7586453201966</v>
      </c>
      <c r="J377" s="100">
        <v>1</v>
      </c>
      <c r="K377" s="37"/>
      <c r="L377" s="26"/>
      <c r="M377" s="26"/>
      <c r="N377" s="26"/>
      <c r="O377" s="95">
        <v>2544.0603681334692</v>
      </c>
      <c r="P377" s="97">
        <f t="shared" si="21"/>
        <v>2544.0603681334692</v>
      </c>
      <c r="Q377" s="199"/>
    </row>
    <row r="378" spans="3:17">
      <c r="C378" s="26"/>
      <c r="D378" s="115" t="s">
        <v>577</v>
      </c>
      <c r="E378" s="34">
        <v>48761</v>
      </c>
      <c r="F378" s="92" t="str">
        <f t="shared" si="20"/>
        <v>2033-34</v>
      </c>
      <c r="G378" s="199"/>
      <c r="H378" s="117" t="s">
        <v>197</v>
      </c>
      <c r="I378" s="26">
        <f t="shared" si="19"/>
        <v>7189.7586453201966</v>
      </c>
      <c r="J378" s="100">
        <v>1</v>
      </c>
      <c r="K378" s="37"/>
      <c r="L378" s="26"/>
      <c r="M378" s="26"/>
      <c r="N378" s="26"/>
      <c r="O378" s="95">
        <v>29691.535066219552</v>
      </c>
      <c r="P378" s="97">
        <f t="shared" si="21"/>
        <v>29691.535066219552</v>
      </c>
      <c r="Q378" s="199"/>
    </row>
    <row r="379" spans="3:17">
      <c r="C379" s="26"/>
      <c r="D379" s="115" t="s">
        <v>578</v>
      </c>
      <c r="E379" s="34">
        <v>48761</v>
      </c>
      <c r="F379" s="92" t="str">
        <f t="shared" si="20"/>
        <v>2033-34</v>
      </c>
      <c r="G379" s="199"/>
      <c r="H379" s="117" t="s">
        <v>197</v>
      </c>
      <c r="I379" s="26">
        <f t="shared" si="19"/>
        <v>7189.7586453201966</v>
      </c>
      <c r="J379" s="100">
        <v>1</v>
      </c>
      <c r="K379" s="37"/>
      <c r="L379" s="26"/>
      <c r="M379" s="26"/>
      <c r="N379" s="26"/>
      <c r="O379" s="95">
        <v>26689.069619671965</v>
      </c>
      <c r="P379" s="97">
        <f t="shared" si="21"/>
        <v>26689.069619671965</v>
      </c>
      <c r="Q379" s="199"/>
    </row>
    <row r="380" spans="3:17">
      <c r="C380" s="26"/>
      <c r="D380" s="115" t="s">
        <v>579</v>
      </c>
      <c r="E380" s="34">
        <v>48761</v>
      </c>
      <c r="F380" s="92" t="str">
        <f t="shared" si="20"/>
        <v>2033-34</v>
      </c>
      <c r="G380" s="199"/>
      <c r="H380" s="117" t="s">
        <v>197</v>
      </c>
      <c r="I380" s="26">
        <f t="shared" si="19"/>
        <v>7189.7586453201966</v>
      </c>
      <c r="J380" s="100">
        <v>1</v>
      </c>
      <c r="K380" s="37"/>
      <c r="L380" s="26"/>
      <c r="M380" s="26"/>
      <c r="N380" s="26"/>
      <c r="O380" s="95">
        <v>56512.037559587516</v>
      </c>
      <c r="P380" s="97">
        <f t="shared" si="21"/>
        <v>56512.037559587516</v>
      </c>
      <c r="Q380" s="199"/>
    </row>
    <row r="381" spans="3:17">
      <c r="C381" s="26"/>
      <c r="D381" s="115" t="s">
        <v>580</v>
      </c>
      <c r="E381" s="34">
        <v>48761</v>
      </c>
      <c r="F381" s="92" t="str">
        <f t="shared" si="20"/>
        <v>2033-34</v>
      </c>
      <c r="G381" s="199"/>
      <c r="H381" s="117" t="s">
        <v>197</v>
      </c>
      <c r="I381" s="26">
        <f t="shared" si="19"/>
        <v>7189.7586453201966</v>
      </c>
      <c r="J381" s="100">
        <v>1</v>
      </c>
      <c r="K381" s="37"/>
      <c r="L381" s="26"/>
      <c r="M381" s="26"/>
      <c r="N381" s="26"/>
      <c r="O381" s="95">
        <v>43761.585193328428</v>
      </c>
      <c r="P381" s="97">
        <f t="shared" si="21"/>
        <v>43761.585193328428</v>
      </c>
      <c r="Q381" s="199"/>
    </row>
    <row r="382" spans="3:17">
      <c r="C382" s="26"/>
      <c r="D382" s="115" t="s">
        <v>581</v>
      </c>
      <c r="E382" s="34">
        <v>48761</v>
      </c>
      <c r="F382" s="92" t="str">
        <f t="shared" si="20"/>
        <v>2033-34</v>
      </c>
      <c r="G382" s="199"/>
      <c r="H382" s="117" t="s">
        <v>197</v>
      </c>
      <c r="I382" s="26">
        <f t="shared" si="19"/>
        <v>7189.7586453201966</v>
      </c>
      <c r="J382" s="100">
        <v>1</v>
      </c>
      <c r="K382" s="37"/>
      <c r="L382" s="26"/>
      <c r="M382" s="26"/>
      <c r="N382" s="26"/>
      <c r="O382" s="95">
        <v>39112.549781212947</v>
      </c>
      <c r="P382" s="97">
        <f t="shared" si="21"/>
        <v>39112.549781212947</v>
      </c>
      <c r="Q382" s="199"/>
    </row>
    <row r="383" spans="3:17">
      <c r="C383" s="26"/>
      <c r="D383" s="115" t="s">
        <v>582</v>
      </c>
      <c r="E383" s="34">
        <v>48761</v>
      </c>
      <c r="F383" s="92" t="str">
        <f t="shared" si="20"/>
        <v>2033-34</v>
      </c>
      <c r="G383" s="199"/>
      <c r="H383" s="117" t="s">
        <v>197</v>
      </c>
      <c r="I383" s="26">
        <f t="shared" si="19"/>
        <v>7189.7586453201966</v>
      </c>
      <c r="J383" s="100">
        <v>1</v>
      </c>
      <c r="K383" s="37"/>
      <c r="L383" s="26"/>
      <c r="M383" s="26"/>
      <c r="N383" s="26"/>
      <c r="O383" s="95">
        <v>789359.13915791863</v>
      </c>
      <c r="P383" s="97">
        <f t="shared" si="21"/>
        <v>789359.13915791863</v>
      </c>
      <c r="Q383" s="199"/>
    </row>
    <row r="384" spans="3:17">
      <c r="C384" s="26"/>
      <c r="D384" s="115" t="s">
        <v>583</v>
      </c>
      <c r="E384" s="34">
        <v>48761</v>
      </c>
      <c r="F384" s="92" t="str">
        <f t="shared" si="20"/>
        <v>2033-34</v>
      </c>
      <c r="G384" s="199"/>
      <c r="H384" s="117" t="s">
        <v>197</v>
      </c>
      <c r="I384" s="26">
        <f t="shared" si="19"/>
        <v>7189.7586453201966</v>
      </c>
      <c r="J384" s="100">
        <v>1</v>
      </c>
      <c r="K384" s="37"/>
      <c r="L384" s="26"/>
      <c r="M384" s="26"/>
      <c r="N384" s="26"/>
      <c r="O384" s="95">
        <v>494022.31851333292</v>
      </c>
      <c r="P384" s="97">
        <f t="shared" si="21"/>
        <v>494022.31851333292</v>
      </c>
      <c r="Q384" s="199"/>
    </row>
    <row r="385" spans="3:17">
      <c r="C385" s="26"/>
      <c r="D385" s="115" t="s">
        <v>584</v>
      </c>
      <c r="E385" s="34">
        <v>48761</v>
      </c>
      <c r="F385" s="92" t="str">
        <f t="shared" si="20"/>
        <v>2033-34</v>
      </c>
      <c r="G385" s="199"/>
      <c r="H385" s="117" t="s">
        <v>197</v>
      </c>
      <c r="I385" s="26">
        <f t="shared" si="19"/>
        <v>7189.7586453201966</v>
      </c>
      <c r="J385" s="100">
        <v>1</v>
      </c>
      <c r="K385" s="37"/>
      <c r="L385" s="26"/>
      <c r="M385" s="26"/>
      <c r="N385" s="26"/>
      <c r="O385" s="95">
        <v>5079564.7791420678</v>
      </c>
      <c r="P385" s="97">
        <f t="shared" si="21"/>
        <v>5079564.7791420678</v>
      </c>
      <c r="Q385" s="199"/>
    </row>
    <row r="386" spans="3:17">
      <c r="C386" s="26"/>
      <c r="D386" s="115" t="s">
        <v>585</v>
      </c>
      <c r="E386" s="34">
        <v>48761</v>
      </c>
      <c r="F386" s="92" t="str">
        <f t="shared" si="20"/>
        <v>2033-34</v>
      </c>
      <c r="G386" s="199"/>
      <c r="H386" s="117" t="s">
        <v>197</v>
      </c>
      <c r="I386" s="26">
        <f t="shared" si="19"/>
        <v>7189.7586453201966</v>
      </c>
      <c r="J386" s="100">
        <v>1</v>
      </c>
      <c r="K386" s="37"/>
      <c r="L386" s="26"/>
      <c r="M386" s="26"/>
      <c r="N386" s="26"/>
      <c r="O386" s="95">
        <v>6993372.4332305547</v>
      </c>
      <c r="P386" s="97">
        <f t="shared" si="21"/>
        <v>6993372.4332305547</v>
      </c>
      <c r="Q386" s="199"/>
    </row>
    <row r="387" spans="3:17">
      <c r="C387" s="26"/>
      <c r="D387" s="115" t="s">
        <v>586</v>
      </c>
      <c r="E387" s="34">
        <v>48761</v>
      </c>
      <c r="F387" s="92" t="str">
        <f t="shared" si="20"/>
        <v>2033-34</v>
      </c>
      <c r="G387" s="199"/>
      <c r="H387" s="117" t="s">
        <v>197</v>
      </c>
      <c r="I387" s="26">
        <f t="shared" si="19"/>
        <v>7189.7586453201966</v>
      </c>
      <c r="J387" s="100">
        <v>1</v>
      </c>
      <c r="K387" s="37"/>
      <c r="L387" s="26"/>
      <c r="M387" s="26"/>
      <c r="N387" s="26"/>
      <c r="O387" s="95">
        <v>3603828.5865235515</v>
      </c>
      <c r="P387" s="97">
        <f t="shared" si="21"/>
        <v>3603828.5865235515</v>
      </c>
      <c r="Q387" s="199"/>
    </row>
    <row r="388" spans="3:17">
      <c r="C388" s="26"/>
      <c r="D388" s="115" t="s">
        <v>587</v>
      </c>
      <c r="E388" s="34">
        <v>48761</v>
      </c>
      <c r="F388" s="92" t="str">
        <f t="shared" si="20"/>
        <v>2033-34</v>
      </c>
      <c r="G388" s="199"/>
      <c r="H388" s="117" t="s">
        <v>197</v>
      </c>
      <c r="I388" s="26">
        <f t="shared" si="19"/>
        <v>7189.7586453201966</v>
      </c>
      <c r="J388" s="100">
        <v>1</v>
      </c>
      <c r="K388" s="37"/>
      <c r="L388" s="26"/>
      <c r="M388" s="26"/>
      <c r="N388" s="26"/>
      <c r="O388" s="95">
        <v>2663793.9212449626</v>
      </c>
      <c r="P388" s="97">
        <f t="shared" si="21"/>
        <v>2663793.9212449626</v>
      </c>
      <c r="Q388" s="199"/>
    </row>
    <row r="389" spans="3:17">
      <c r="C389" s="26"/>
      <c r="D389" s="115" t="s">
        <v>588</v>
      </c>
      <c r="E389" s="34">
        <v>48761</v>
      </c>
      <c r="F389" s="92" t="str">
        <f t="shared" si="20"/>
        <v>2033-34</v>
      </c>
      <c r="G389" s="199"/>
      <c r="H389" s="117" t="s">
        <v>197</v>
      </c>
      <c r="I389" s="26">
        <f t="shared" si="19"/>
        <v>7189.7586453201966</v>
      </c>
      <c r="J389" s="100">
        <v>1</v>
      </c>
      <c r="K389" s="37"/>
      <c r="L389" s="26"/>
      <c r="M389" s="26"/>
      <c r="N389" s="26"/>
      <c r="O389" s="95">
        <v>235915.2</v>
      </c>
      <c r="P389" s="97">
        <f t="shared" si="21"/>
        <v>235915.2</v>
      </c>
      <c r="Q389" s="199"/>
    </row>
    <row r="390" spans="3:17">
      <c r="C390" s="26"/>
      <c r="D390" s="115" t="s">
        <v>589</v>
      </c>
      <c r="E390" s="34">
        <v>48761</v>
      </c>
      <c r="F390" s="92" t="str">
        <f t="shared" si="20"/>
        <v>2033-34</v>
      </c>
      <c r="G390" s="199"/>
      <c r="H390" s="117" t="s">
        <v>197</v>
      </c>
      <c r="I390" s="26">
        <f t="shared" si="19"/>
        <v>7189.7586453201966</v>
      </c>
      <c r="J390" s="100">
        <v>1</v>
      </c>
      <c r="K390" s="37"/>
      <c r="L390" s="26"/>
      <c r="M390" s="26"/>
      <c r="N390" s="26"/>
      <c r="O390" s="95">
        <v>235915.2</v>
      </c>
      <c r="P390" s="97">
        <f t="shared" si="21"/>
        <v>235915.2</v>
      </c>
      <c r="Q390" s="199"/>
    </row>
    <row r="391" spans="3:17">
      <c r="C391" s="26"/>
      <c r="D391" s="115" t="s">
        <v>590</v>
      </c>
      <c r="E391" s="34">
        <v>48761</v>
      </c>
      <c r="F391" s="92" t="str">
        <f t="shared" si="20"/>
        <v>2033-34</v>
      </c>
      <c r="G391" s="199"/>
      <c r="H391" s="117" t="s">
        <v>197</v>
      </c>
      <c r="I391" s="26">
        <f t="shared" si="19"/>
        <v>7189.7586453201966</v>
      </c>
      <c r="J391" s="100">
        <v>1</v>
      </c>
      <c r="K391" s="37"/>
      <c r="L391" s="26"/>
      <c r="M391" s="26"/>
      <c r="N391" s="26"/>
      <c r="O391" s="95">
        <v>248537.7365278248</v>
      </c>
      <c r="P391" s="97">
        <f t="shared" si="21"/>
        <v>248537.7365278248</v>
      </c>
      <c r="Q391" s="199"/>
    </row>
    <row r="392" spans="3:17">
      <c r="C392" s="26"/>
      <c r="D392" s="115" t="s">
        <v>591</v>
      </c>
      <c r="E392" s="34">
        <v>48761</v>
      </c>
      <c r="F392" s="92" t="str">
        <f t="shared" si="20"/>
        <v>2033-34</v>
      </c>
      <c r="G392" s="199"/>
      <c r="H392" s="117" t="s">
        <v>197</v>
      </c>
      <c r="I392" s="26">
        <f t="shared" si="19"/>
        <v>7189.7586453201966</v>
      </c>
      <c r="J392" s="100">
        <v>1</v>
      </c>
      <c r="K392" s="37"/>
      <c r="L392" s="26"/>
      <c r="M392" s="26"/>
      <c r="N392" s="26"/>
      <c r="O392" s="95">
        <v>9042082.9097947758</v>
      </c>
      <c r="P392" s="97">
        <f t="shared" si="21"/>
        <v>9042082.9097947758</v>
      </c>
      <c r="Q392" s="199"/>
    </row>
    <row r="393" spans="3:17">
      <c r="C393" s="26"/>
      <c r="D393" s="115" t="s">
        <v>592</v>
      </c>
      <c r="E393" s="34">
        <v>48761</v>
      </c>
      <c r="F393" s="92" t="str">
        <f t="shared" si="20"/>
        <v>2033-34</v>
      </c>
      <c r="G393" s="199"/>
      <c r="H393" s="117" t="s">
        <v>197</v>
      </c>
      <c r="I393" s="26">
        <f t="shared" si="19"/>
        <v>7189.7586453201966</v>
      </c>
      <c r="J393" s="100">
        <v>1</v>
      </c>
      <c r="K393" s="37"/>
      <c r="L393" s="26"/>
      <c r="M393" s="26"/>
      <c r="N393" s="26"/>
      <c r="O393" s="95">
        <v>289105.20508528617</v>
      </c>
      <c r="P393" s="97">
        <f t="shared" si="21"/>
        <v>289105.20508528617</v>
      </c>
      <c r="Q393" s="199"/>
    </row>
    <row r="394" spans="3:17">
      <c r="C394" s="26"/>
      <c r="D394" s="115" t="s">
        <v>593</v>
      </c>
      <c r="E394" s="34">
        <v>48761</v>
      </c>
      <c r="F394" s="92" t="str">
        <f t="shared" si="20"/>
        <v>2033-34</v>
      </c>
      <c r="G394" s="199"/>
      <c r="H394" s="117" t="s">
        <v>197</v>
      </c>
      <c r="I394" s="26">
        <f t="shared" si="19"/>
        <v>7189.7586453201966</v>
      </c>
      <c r="J394" s="100">
        <v>1</v>
      </c>
      <c r="K394" s="37"/>
      <c r="L394" s="26"/>
      <c r="M394" s="26"/>
      <c r="N394" s="26"/>
      <c r="O394" s="95">
        <v>22454.675521364203</v>
      </c>
      <c r="P394" s="97">
        <f t="shared" si="21"/>
        <v>22454.675521364203</v>
      </c>
      <c r="Q394" s="199"/>
    </row>
    <row r="395" spans="3:17">
      <c r="C395" s="26"/>
      <c r="D395" s="115" t="s">
        <v>594</v>
      </c>
      <c r="E395" s="34">
        <v>49126</v>
      </c>
      <c r="F395" s="92" t="str">
        <f t="shared" si="20"/>
        <v>2034-35</v>
      </c>
      <c r="G395" s="199"/>
      <c r="H395" s="117" t="s">
        <v>197</v>
      </c>
      <c r="I395" s="26">
        <f t="shared" si="19"/>
        <v>7189.7586453201966</v>
      </c>
      <c r="J395" s="100">
        <v>1</v>
      </c>
      <c r="K395" s="37"/>
      <c r="L395" s="26"/>
      <c r="M395" s="26"/>
      <c r="N395" s="26"/>
      <c r="O395" s="95">
        <v>219662.31809557742</v>
      </c>
      <c r="P395" s="97">
        <f t="shared" si="21"/>
        <v>219662.31809557742</v>
      </c>
      <c r="Q395" s="199"/>
    </row>
    <row r="396" spans="3:17">
      <c r="C396" s="26"/>
      <c r="D396" s="115" t="s">
        <v>595</v>
      </c>
      <c r="E396" s="34">
        <v>49126</v>
      </c>
      <c r="F396" s="92" t="str">
        <f t="shared" si="20"/>
        <v>2034-35</v>
      </c>
      <c r="G396" s="199"/>
      <c r="H396" s="117" t="s">
        <v>197</v>
      </c>
      <c r="I396" s="26">
        <f t="shared" si="19"/>
        <v>7189.7586453201966</v>
      </c>
      <c r="J396" s="100">
        <v>1</v>
      </c>
      <c r="K396" s="37"/>
      <c r="L396" s="26"/>
      <c r="M396" s="26"/>
      <c r="N396" s="26"/>
      <c r="O396" s="95">
        <v>939701.16415365029</v>
      </c>
      <c r="P396" s="97">
        <f t="shared" si="21"/>
        <v>939701.16415365029</v>
      </c>
      <c r="Q396" s="199"/>
    </row>
    <row r="397" spans="3:17">
      <c r="C397" s="26"/>
      <c r="D397" s="115" t="s">
        <v>596</v>
      </c>
      <c r="E397" s="34">
        <v>49126</v>
      </c>
      <c r="F397" s="92" t="str">
        <f t="shared" si="20"/>
        <v>2034-35</v>
      </c>
      <c r="G397" s="199"/>
      <c r="H397" s="117" t="s">
        <v>197</v>
      </c>
      <c r="I397" s="26">
        <f t="shared" si="19"/>
        <v>7189.7586453201966</v>
      </c>
      <c r="J397" s="100">
        <v>1</v>
      </c>
      <c r="K397" s="37"/>
      <c r="L397" s="26"/>
      <c r="M397" s="26"/>
      <c r="N397" s="26"/>
      <c r="O397" s="95">
        <v>219133.13012112168</v>
      </c>
      <c r="P397" s="97">
        <f t="shared" si="21"/>
        <v>219133.13012112168</v>
      </c>
      <c r="Q397" s="199"/>
    </row>
    <row r="398" spans="3:17">
      <c r="C398" s="26"/>
      <c r="D398" s="115" t="s">
        <v>597</v>
      </c>
      <c r="E398" s="34">
        <v>49126</v>
      </c>
      <c r="F398" s="92" t="str">
        <f t="shared" si="20"/>
        <v>2034-35</v>
      </c>
      <c r="G398" s="199"/>
      <c r="H398" s="117" t="s">
        <v>197</v>
      </c>
      <c r="I398" s="26">
        <f t="shared" si="19"/>
        <v>7189.7586453201966</v>
      </c>
      <c r="J398" s="100">
        <v>1</v>
      </c>
      <c r="K398" s="37"/>
      <c r="L398" s="26"/>
      <c r="M398" s="26"/>
      <c r="N398" s="26"/>
      <c r="O398" s="95">
        <v>396376.60702072136</v>
      </c>
      <c r="P398" s="97">
        <f t="shared" si="21"/>
        <v>396376.60702072136</v>
      </c>
      <c r="Q398" s="199"/>
    </row>
    <row r="399" spans="3:17">
      <c r="C399" s="26"/>
      <c r="D399" s="115" t="s">
        <v>598</v>
      </c>
      <c r="E399" s="34">
        <v>49126</v>
      </c>
      <c r="F399" s="92" t="str">
        <f t="shared" si="20"/>
        <v>2034-35</v>
      </c>
      <c r="G399" s="199"/>
      <c r="H399" s="117" t="s">
        <v>197</v>
      </c>
      <c r="I399" s="26">
        <f t="shared" si="19"/>
        <v>7189.7586453201966</v>
      </c>
      <c r="J399" s="100">
        <v>1</v>
      </c>
      <c r="K399" s="37"/>
      <c r="L399" s="26"/>
      <c r="M399" s="26"/>
      <c r="N399" s="26"/>
      <c r="O399" s="95">
        <v>322317.80848399864</v>
      </c>
      <c r="P399" s="97">
        <f t="shared" si="21"/>
        <v>322317.80848399864</v>
      </c>
      <c r="Q399" s="199"/>
    </row>
    <row r="400" spans="3:17">
      <c r="C400" s="26"/>
      <c r="D400" s="115" t="s">
        <v>599</v>
      </c>
      <c r="E400" s="34">
        <v>49126</v>
      </c>
      <c r="F400" s="92" t="str">
        <f t="shared" si="20"/>
        <v>2034-35</v>
      </c>
      <c r="G400" s="199"/>
      <c r="H400" s="117" t="s">
        <v>197</v>
      </c>
      <c r="I400" s="26">
        <f t="shared" si="19"/>
        <v>7189.7586453201966</v>
      </c>
      <c r="J400" s="100">
        <v>1</v>
      </c>
      <c r="K400" s="37"/>
      <c r="L400" s="26"/>
      <c r="M400" s="26"/>
      <c r="N400" s="26"/>
      <c r="O400" s="95">
        <v>50446.688525889134</v>
      </c>
      <c r="P400" s="97">
        <f t="shared" si="21"/>
        <v>50446.688525889134</v>
      </c>
      <c r="Q400" s="199"/>
    </row>
    <row r="401" spans="3:17">
      <c r="C401" s="26"/>
      <c r="D401" s="115" t="s">
        <v>600</v>
      </c>
      <c r="E401" s="34">
        <v>49126</v>
      </c>
      <c r="F401" s="92" t="str">
        <f t="shared" si="20"/>
        <v>2034-35</v>
      </c>
      <c r="G401" s="199"/>
      <c r="H401" s="117" t="s">
        <v>197</v>
      </c>
      <c r="I401" s="26">
        <f t="shared" si="19"/>
        <v>7189.7586453201966</v>
      </c>
      <c r="J401" s="100">
        <v>1</v>
      </c>
      <c r="K401" s="37"/>
      <c r="L401" s="26"/>
      <c r="M401" s="26"/>
      <c r="N401" s="26"/>
      <c r="O401" s="95">
        <v>7632.181104400408</v>
      </c>
      <c r="P401" s="97">
        <f t="shared" si="21"/>
        <v>7632.181104400408</v>
      </c>
      <c r="Q401" s="199"/>
    </row>
    <row r="402" spans="3:17">
      <c r="C402" s="26"/>
      <c r="D402" s="115" t="s">
        <v>601</v>
      </c>
      <c r="E402" s="34">
        <v>49126</v>
      </c>
      <c r="F402" s="92" t="str">
        <f t="shared" si="20"/>
        <v>2034-35</v>
      </c>
      <c r="G402" s="199"/>
      <c r="H402" s="117" t="s">
        <v>197</v>
      </c>
      <c r="I402" s="26">
        <f t="shared" ref="I402:I465" si="22">I401</f>
        <v>7189.7586453201966</v>
      </c>
      <c r="J402" s="100">
        <v>1</v>
      </c>
      <c r="K402" s="37"/>
      <c r="L402" s="26"/>
      <c r="M402" s="26"/>
      <c r="N402" s="26"/>
      <c r="O402" s="95">
        <v>89074.605198658654</v>
      </c>
      <c r="P402" s="97">
        <f t="shared" si="21"/>
        <v>89074.605198658654</v>
      </c>
      <c r="Q402" s="199"/>
    </row>
    <row r="403" spans="3:17">
      <c r="C403" s="26"/>
      <c r="D403" s="115" t="s">
        <v>602</v>
      </c>
      <c r="E403" s="34">
        <v>49126</v>
      </c>
      <c r="F403" s="92" t="str">
        <f t="shared" si="20"/>
        <v>2034-35</v>
      </c>
      <c r="G403" s="199"/>
      <c r="H403" s="117" t="s">
        <v>197</v>
      </c>
      <c r="I403" s="26">
        <f t="shared" si="22"/>
        <v>7189.7586453201966</v>
      </c>
      <c r="J403" s="100">
        <v>1</v>
      </c>
      <c r="K403" s="37"/>
      <c r="L403" s="26"/>
      <c r="M403" s="26"/>
      <c r="N403" s="26"/>
      <c r="O403" s="95">
        <v>26689.069619671965</v>
      </c>
      <c r="P403" s="97">
        <f t="shared" si="21"/>
        <v>26689.069619671965</v>
      </c>
      <c r="Q403" s="199"/>
    </row>
    <row r="404" spans="3:17">
      <c r="C404" s="26"/>
      <c r="D404" s="115" t="s">
        <v>603</v>
      </c>
      <c r="E404" s="34">
        <v>49126</v>
      </c>
      <c r="F404" s="92" t="str">
        <f t="shared" si="20"/>
        <v>2034-35</v>
      </c>
      <c r="G404" s="199"/>
      <c r="H404" s="117" t="s">
        <v>197</v>
      </c>
      <c r="I404" s="26">
        <f t="shared" si="22"/>
        <v>7189.7586453201966</v>
      </c>
      <c r="J404" s="100">
        <v>1</v>
      </c>
      <c r="K404" s="37"/>
      <c r="L404" s="26"/>
      <c r="M404" s="26"/>
      <c r="N404" s="26"/>
      <c r="O404" s="95">
        <v>28256.018779793758</v>
      </c>
      <c r="P404" s="97">
        <f t="shared" si="21"/>
        <v>28256.018779793758</v>
      </c>
      <c r="Q404" s="199"/>
    </row>
    <row r="405" spans="3:17">
      <c r="C405" s="26"/>
      <c r="D405" s="115" t="s">
        <v>604</v>
      </c>
      <c r="E405" s="34">
        <v>49126</v>
      </c>
      <c r="F405" s="92" t="str">
        <f t="shared" si="20"/>
        <v>2034-35</v>
      </c>
      <c r="G405" s="199"/>
      <c r="H405" s="117" t="s">
        <v>197</v>
      </c>
      <c r="I405" s="26">
        <f t="shared" si="22"/>
        <v>7189.7586453201966</v>
      </c>
      <c r="J405" s="100">
        <v>1</v>
      </c>
      <c r="K405" s="37"/>
      <c r="L405" s="26"/>
      <c r="M405" s="26"/>
      <c r="N405" s="26"/>
      <c r="O405" s="95">
        <v>43761.585193328428</v>
      </c>
      <c r="P405" s="97">
        <f t="shared" si="21"/>
        <v>43761.585193328428</v>
      </c>
      <c r="Q405" s="199"/>
    </row>
    <row r="406" spans="3:17">
      <c r="C406" s="26"/>
      <c r="D406" s="115" t="s">
        <v>605</v>
      </c>
      <c r="E406" s="34">
        <v>49126</v>
      </c>
      <c r="F406" s="92" t="str">
        <f t="shared" si="20"/>
        <v>2034-35</v>
      </c>
      <c r="G406" s="199"/>
      <c r="H406" s="117" t="s">
        <v>197</v>
      </c>
      <c r="I406" s="26">
        <f t="shared" si="22"/>
        <v>7189.7586453201966</v>
      </c>
      <c r="J406" s="100">
        <v>1</v>
      </c>
      <c r="K406" s="37"/>
      <c r="L406" s="26"/>
      <c r="M406" s="26"/>
      <c r="N406" s="26"/>
      <c r="O406" s="95">
        <v>39112.549781212947</v>
      </c>
      <c r="P406" s="97">
        <f t="shared" si="21"/>
        <v>39112.549781212947</v>
      </c>
      <c r="Q406" s="199"/>
    </row>
    <row r="407" spans="3:17">
      <c r="C407" s="26"/>
      <c r="D407" s="115" t="s">
        <v>606</v>
      </c>
      <c r="E407" s="34">
        <v>49126</v>
      </c>
      <c r="F407" s="92" t="str">
        <f t="shared" si="20"/>
        <v>2034-35</v>
      </c>
      <c r="G407" s="199"/>
      <c r="H407" s="117" t="s">
        <v>197</v>
      </c>
      <c r="I407" s="26">
        <f t="shared" si="22"/>
        <v>7189.7586453201966</v>
      </c>
      <c r="J407" s="100">
        <v>1</v>
      </c>
      <c r="K407" s="37"/>
      <c r="L407" s="26"/>
      <c r="M407" s="26"/>
      <c r="N407" s="26"/>
      <c r="O407" s="95">
        <v>4630795.7964505916</v>
      </c>
      <c r="P407" s="97">
        <f t="shared" si="21"/>
        <v>4630795.7964505916</v>
      </c>
      <c r="Q407" s="199"/>
    </row>
    <row r="408" spans="3:17">
      <c r="C408" s="26"/>
      <c r="D408" s="115" t="s">
        <v>607</v>
      </c>
      <c r="E408" s="34">
        <v>49126</v>
      </c>
      <c r="F408" s="92" t="str">
        <f t="shared" si="20"/>
        <v>2034-35</v>
      </c>
      <c r="G408" s="199"/>
      <c r="H408" s="117" t="s">
        <v>197</v>
      </c>
      <c r="I408" s="26">
        <f t="shared" si="22"/>
        <v>7189.7586453201966</v>
      </c>
      <c r="J408" s="100">
        <v>1</v>
      </c>
      <c r="K408" s="37"/>
      <c r="L408" s="26"/>
      <c r="M408" s="26"/>
      <c r="N408" s="26"/>
      <c r="O408" s="95">
        <v>1578718.2783158373</v>
      </c>
      <c r="P408" s="97">
        <f t="shared" si="21"/>
        <v>1578718.2783158373</v>
      </c>
      <c r="Q408" s="199"/>
    </row>
    <row r="409" spans="3:17">
      <c r="C409" s="26"/>
      <c r="D409" s="115" t="s">
        <v>608</v>
      </c>
      <c r="E409" s="34">
        <v>49126</v>
      </c>
      <c r="F409" s="92" t="str">
        <f t="shared" si="20"/>
        <v>2034-35</v>
      </c>
      <c r="G409" s="199"/>
      <c r="H409" s="117" t="s">
        <v>197</v>
      </c>
      <c r="I409" s="26">
        <f t="shared" si="22"/>
        <v>7189.7586453201966</v>
      </c>
      <c r="J409" s="100">
        <v>1</v>
      </c>
      <c r="K409" s="37"/>
      <c r="L409" s="26"/>
      <c r="M409" s="26"/>
      <c r="N409" s="26"/>
      <c r="O409" s="95">
        <v>247011.15925666646</v>
      </c>
      <c r="P409" s="97">
        <f t="shared" si="21"/>
        <v>247011.15925666646</v>
      </c>
      <c r="Q409" s="199"/>
    </row>
    <row r="410" spans="3:17">
      <c r="C410" s="26"/>
      <c r="D410" s="115" t="s">
        <v>609</v>
      </c>
      <c r="E410" s="34">
        <v>49126</v>
      </c>
      <c r="F410" s="92" t="str">
        <f t="shared" si="20"/>
        <v>2034-35</v>
      </c>
      <c r="G410" s="199"/>
      <c r="H410" s="117" t="s">
        <v>197</v>
      </c>
      <c r="I410" s="26">
        <f t="shared" si="22"/>
        <v>7189.7586453201966</v>
      </c>
      <c r="J410" s="100">
        <v>1</v>
      </c>
      <c r="K410" s="37"/>
      <c r="L410" s="26"/>
      <c r="M410" s="26"/>
      <c r="N410" s="26"/>
      <c r="O410" s="95">
        <v>564396.08657134091</v>
      </c>
      <c r="P410" s="97">
        <f t="shared" si="21"/>
        <v>564396.08657134091</v>
      </c>
      <c r="Q410" s="199"/>
    </row>
    <row r="411" spans="3:17">
      <c r="C411" s="26"/>
      <c r="D411" s="115" t="s">
        <v>610</v>
      </c>
      <c r="E411" s="34">
        <v>49126</v>
      </c>
      <c r="F411" s="92" t="str">
        <f t="shared" si="20"/>
        <v>2034-35</v>
      </c>
      <c r="G411" s="199"/>
      <c r="H411" s="117" t="s">
        <v>197</v>
      </c>
      <c r="I411" s="26">
        <f t="shared" si="22"/>
        <v>7189.7586453201966</v>
      </c>
      <c r="J411" s="100">
        <v>1</v>
      </c>
      <c r="K411" s="37"/>
      <c r="L411" s="26"/>
      <c r="M411" s="26"/>
      <c r="N411" s="26"/>
      <c r="O411" s="95">
        <v>777041.38147006161</v>
      </c>
      <c r="P411" s="97">
        <f t="shared" si="21"/>
        <v>777041.38147006161</v>
      </c>
      <c r="Q411" s="199"/>
    </row>
    <row r="412" spans="3:17">
      <c r="C412" s="26"/>
      <c r="D412" s="115" t="s">
        <v>611</v>
      </c>
      <c r="E412" s="34">
        <v>49126</v>
      </c>
      <c r="F412" s="92" t="str">
        <f t="shared" si="20"/>
        <v>2034-35</v>
      </c>
      <c r="G412" s="199"/>
      <c r="H412" s="117" t="s">
        <v>197</v>
      </c>
      <c r="I412" s="26">
        <f t="shared" si="22"/>
        <v>7189.7586453201966</v>
      </c>
      <c r="J412" s="100">
        <v>1</v>
      </c>
      <c r="K412" s="37"/>
      <c r="L412" s="26"/>
      <c r="M412" s="26"/>
      <c r="N412" s="26"/>
      <c r="O412" s="95">
        <v>400425.39850261691</v>
      </c>
      <c r="P412" s="97">
        <f t="shared" si="21"/>
        <v>400425.39850261691</v>
      </c>
      <c r="Q412" s="199"/>
    </row>
    <row r="413" spans="3:17">
      <c r="C413" s="26"/>
      <c r="D413" s="115" t="s">
        <v>612</v>
      </c>
      <c r="E413" s="34">
        <v>49126</v>
      </c>
      <c r="F413" s="92" t="str">
        <f t="shared" si="20"/>
        <v>2034-35</v>
      </c>
      <c r="G413" s="199"/>
      <c r="H413" s="117" t="s">
        <v>197</v>
      </c>
      <c r="I413" s="26">
        <f t="shared" si="22"/>
        <v>7189.7586453201966</v>
      </c>
      <c r="J413" s="100">
        <v>1</v>
      </c>
      <c r="K413" s="37"/>
      <c r="L413" s="26"/>
      <c r="M413" s="26"/>
      <c r="N413" s="26"/>
      <c r="O413" s="95">
        <v>12958078.250817478</v>
      </c>
      <c r="P413" s="97">
        <f t="shared" si="21"/>
        <v>12958078.250817478</v>
      </c>
      <c r="Q413" s="199"/>
    </row>
    <row r="414" spans="3:17">
      <c r="C414" s="26"/>
      <c r="D414" s="115" t="s">
        <v>613</v>
      </c>
      <c r="E414" s="34">
        <v>49126</v>
      </c>
      <c r="F414" s="92" t="str">
        <f t="shared" si="20"/>
        <v>2034-35</v>
      </c>
      <c r="G414" s="199"/>
      <c r="H414" s="117" t="s">
        <v>197</v>
      </c>
      <c r="I414" s="26">
        <f t="shared" si="22"/>
        <v>7189.7586453201966</v>
      </c>
      <c r="J414" s="100">
        <v>1</v>
      </c>
      <c r="K414" s="37"/>
      <c r="L414" s="26"/>
      <c r="M414" s="26"/>
      <c r="N414" s="26"/>
      <c r="O414" s="95">
        <v>12554819.738680176</v>
      </c>
      <c r="P414" s="97">
        <f t="shared" si="21"/>
        <v>12554819.738680176</v>
      </c>
      <c r="Q414" s="199"/>
    </row>
    <row r="415" spans="3:17">
      <c r="C415" s="26"/>
      <c r="D415" s="115" t="s">
        <v>614</v>
      </c>
      <c r="E415" s="34">
        <v>49126</v>
      </c>
      <c r="F415" s="92" t="str">
        <f t="shared" si="20"/>
        <v>2034-35</v>
      </c>
      <c r="G415" s="199"/>
      <c r="H415" s="117" t="s">
        <v>197</v>
      </c>
      <c r="I415" s="26">
        <f t="shared" si="22"/>
        <v>7189.7586453201966</v>
      </c>
      <c r="J415" s="100">
        <v>1</v>
      </c>
      <c r="K415" s="37"/>
      <c r="L415" s="26"/>
      <c r="M415" s="26"/>
      <c r="N415" s="26"/>
      <c r="O415" s="95">
        <v>15538797.873928947</v>
      </c>
      <c r="P415" s="97">
        <f t="shared" si="21"/>
        <v>15538797.873928947</v>
      </c>
      <c r="Q415" s="199"/>
    </row>
    <row r="416" spans="3:17">
      <c r="C416" s="26"/>
      <c r="D416" s="115" t="s">
        <v>615</v>
      </c>
      <c r="E416" s="34">
        <v>49126</v>
      </c>
      <c r="F416" s="92" t="str">
        <f t="shared" si="20"/>
        <v>2034-35</v>
      </c>
      <c r="G416" s="199"/>
      <c r="H416" s="117" t="s">
        <v>197</v>
      </c>
      <c r="I416" s="26">
        <f t="shared" si="22"/>
        <v>7189.7586453201966</v>
      </c>
      <c r="J416" s="100">
        <v>1</v>
      </c>
      <c r="K416" s="37"/>
      <c r="L416" s="26"/>
      <c r="M416" s="26"/>
      <c r="N416" s="26"/>
      <c r="O416" s="95">
        <v>157276.79999999999</v>
      </c>
      <c r="P416" s="97">
        <f t="shared" si="21"/>
        <v>157276.79999999999</v>
      </c>
      <c r="Q416" s="199"/>
    </row>
    <row r="417" spans="3:17">
      <c r="C417" s="26"/>
      <c r="D417" s="115" t="s">
        <v>616</v>
      </c>
      <c r="E417" s="34">
        <v>49126</v>
      </c>
      <c r="F417" s="92" t="str">
        <f t="shared" si="20"/>
        <v>2034-35</v>
      </c>
      <c r="G417" s="199"/>
      <c r="H417" s="117" t="s">
        <v>197</v>
      </c>
      <c r="I417" s="26">
        <f t="shared" si="22"/>
        <v>7189.7586453201966</v>
      </c>
      <c r="J417" s="100">
        <v>1</v>
      </c>
      <c r="K417" s="37"/>
      <c r="L417" s="26"/>
      <c r="M417" s="26"/>
      <c r="N417" s="26"/>
      <c r="O417" s="95">
        <v>157276.79999999999</v>
      </c>
      <c r="P417" s="97">
        <f t="shared" si="21"/>
        <v>157276.79999999999</v>
      </c>
      <c r="Q417" s="199"/>
    </row>
    <row r="418" spans="3:17">
      <c r="C418" s="26"/>
      <c r="D418" s="115" t="s">
        <v>617</v>
      </c>
      <c r="E418" s="34">
        <v>49126</v>
      </c>
      <c r="F418" s="92" t="str">
        <f t="shared" si="20"/>
        <v>2034-35</v>
      </c>
      <c r="G418" s="199"/>
      <c r="H418" s="117" t="s">
        <v>197</v>
      </c>
      <c r="I418" s="26">
        <f t="shared" si="22"/>
        <v>7189.7586453201966</v>
      </c>
      <c r="J418" s="100">
        <v>1</v>
      </c>
      <c r="K418" s="37"/>
      <c r="L418" s="26"/>
      <c r="M418" s="26"/>
      <c r="N418" s="26"/>
      <c r="O418" s="95">
        <v>21880813.19335489</v>
      </c>
      <c r="P418" s="97">
        <f t="shared" si="21"/>
        <v>21880813.19335489</v>
      </c>
      <c r="Q418" s="199"/>
    </row>
    <row r="419" spans="3:17">
      <c r="C419" s="26"/>
      <c r="D419" s="115" t="s">
        <v>618</v>
      </c>
      <c r="E419" s="34">
        <v>49126</v>
      </c>
      <c r="F419" s="92" t="str">
        <f t="shared" si="20"/>
        <v>2034-35</v>
      </c>
      <c r="G419" s="199"/>
      <c r="H419" s="117" t="s">
        <v>197</v>
      </c>
      <c r="I419" s="26">
        <f t="shared" si="22"/>
        <v>7189.7586453201966</v>
      </c>
      <c r="J419" s="100">
        <v>1</v>
      </c>
      <c r="K419" s="37"/>
      <c r="L419" s="26"/>
      <c r="M419" s="26"/>
      <c r="N419" s="26"/>
      <c r="O419" s="95">
        <v>340123.77068857203</v>
      </c>
      <c r="P419" s="97">
        <f t="shared" si="21"/>
        <v>340123.77068857203</v>
      </c>
      <c r="Q419" s="199"/>
    </row>
    <row r="420" spans="3:17">
      <c r="C420" s="26"/>
      <c r="D420" s="115" t="s">
        <v>619</v>
      </c>
      <c r="E420" s="34">
        <v>49126</v>
      </c>
      <c r="F420" s="92" t="str">
        <f t="shared" si="20"/>
        <v>2034-35</v>
      </c>
      <c r="G420" s="199"/>
      <c r="H420" s="117" t="s">
        <v>197</v>
      </c>
      <c r="I420" s="26">
        <f t="shared" si="22"/>
        <v>7189.7586453201966</v>
      </c>
      <c r="J420" s="100">
        <v>1</v>
      </c>
      <c r="K420" s="37"/>
      <c r="L420" s="26"/>
      <c r="M420" s="26"/>
      <c r="N420" s="26"/>
      <c r="O420" s="95">
        <v>24836.232016054342</v>
      </c>
      <c r="P420" s="97">
        <f t="shared" si="21"/>
        <v>24836.232016054342</v>
      </c>
      <c r="Q420" s="199"/>
    </row>
    <row r="421" spans="3:17">
      <c r="C421" s="26"/>
      <c r="D421" s="115" t="s">
        <v>242</v>
      </c>
      <c r="E421" s="34">
        <v>49126</v>
      </c>
      <c r="F421" s="92" t="str">
        <f t="shared" si="20"/>
        <v>2034-35</v>
      </c>
      <c r="G421" s="199"/>
      <c r="H421" s="117" t="s">
        <v>197</v>
      </c>
      <c r="I421" s="26">
        <f t="shared" si="22"/>
        <v>7189.7586453201966</v>
      </c>
      <c r="J421" s="100">
        <v>1</v>
      </c>
      <c r="K421" s="37"/>
      <c r="L421" s="26"/>
      <c r="M421" s="26"/>
      <c r="N421" s="26"/>
      <c r="O421" s="95">
        <v>440875.98850800568</v>
      </c>
      <c r="P421" s="97">
        <f t="shared" si="21"/>
        <v>440875.98850800568</v>
      </c>
      <c r="Q421" s="199"/>
    </row>
    <row r="422" spans="3:17">
      <c r="C422" s="26"/>
      <c r="D422" s="115" t="s">
        <v>620</v>
      </c>
      <c r="E422" s="34">
        <v>49491</v>
      </c>
      <c r="F422" s="92" t="str">
        <f t="shared" si="20"/>
        <v>2035-36</v>
      </c>
      <c r="G422" s="199"/>
      <c r="H422" s="117" t="s">
        <v>197</v>
      </c>
      <c r="I422" s="26">
        <f t="shared" si="22"/>
        <v>7189.7586453201966</v>
      </c>
      <c r="J422" s="100">
        <v>1</v>
      </c>
      <c r="K422" s="37"/>
      <c r="L422" s="26"/>
      <c r="M422" s="26"/>
      <c r="N422" s="26"/>
      <c r="O422" s="95">
        <v>702922.45942304889</v>
      </c>
      <c r="P422" s="97">
        <f t="shared" si="21"/>
        <v>702922.45942304889</v>
      </c>
      <c r="Q422" s="199"/>
    </row>
    <row r="423" spans="3:17">
      <c r="C423" s="26"/>
      <c r="D423" s="115" t="s">
        <v>621</v>
      </c>
      <c r="E423" s="34">
        <v>49491</v>
      </c>
      <c r="F423" s="92" t="str">
        <f t="shared" si="20"/>
        <v>2035-36</v>
      </c>
      <c r="G423" s="199"/>
      <c r="H423" s="117" t="s">
        <v>197</v>
      </c>
      <c r="I423" s="26">
        <f t="shared" si="22"/>
        <v>7189.7586453201966</v>
      </c>
      <c r="J423" s="100">
        <v>1</v>
      </c>
      <c r="K423" s="37"/>
      <c r="L423" s="26"/>
      <c r="M423" s="26"/>
      <c r="N423" s="26"/>
      <c r="O423" s="95">
        <v>25856.899085207264</v>
      </c>
      <c r="P423" s="97">
        <f t="shared" si="21"/>
        <v>25856.899085207264</v>
      </c>
      <c r="Q423" s="199"/>
    </row>
    <row r="424" spans="3:17">
      <c r="C424" s="26"/>
      <c r="D424" s="115" t="s">
        <v>622</v>
      </c>
      <c r="E424" s="34">
        <v>49857</v>
      </c>
      <c r="F424" s="92" t="str">
        <f t="shared" si="20"/>
        <v>2036-37</v>
      </c>
      <c r="G424" s="199"/>
      <c r="H424" s="117" t="s">
        <v>197</v>
      </c>
      <c r="I424" s="26">
        <f t="shared" si="22"/>
        <v>7189.7586453201966</v>
      </c>
      <c r="J424" s="100">
        <v>1</v>
      </c>
      <c r="K424" s="37"/>
      <c r="L424" s="26"/>
      <c r="M424" s="26"/>
      <c r="N424" s="26"/>
      <c r="O424" s="95">
        <v>1213108.1154559068</v>
      </c>
      <c r="P424" s="97">
        <f t="shared" si="21"/>
        <v>1213108.1154559068</v>
      </c>
      <c r="Q424" s="199"/>
    </row>
    <row r="425" spans="3:17">
      <c r="C425" s="26"/>
      <c r="D425" s="115" t="s">
        <v>623</v>
      </c>
      <c r="E425" s="34">
        <v>49857</v>
      </c>
      <c r="F425" s="92" t="str">
        <f t="shared" ref="F425:F488" si="23">IF(E425="","-",IF(E425&lt;$E$15,"ERROR - date outside of range",IF(MONTH(E425)&gt;=7,YEAR(E425)&amp;"-"&amp;RIGHT(YEAR(E425),2)+1,YEAR(E425)-1&amp;"-"&amp;RIGHT(YEAR(E425),2))))</f>
        <v>2036-37</v>
      </c>
      <c r="G425" s="199"/>
      <c r="H425" s="117" t="s">
        <v>197</v>
      </c>
      <c r="I425" s="26">
        <f t="shared" si="22"/>
        <v>7189.7586453201966</v>
      </c>
      <c r="J425" s="100">
        <v>1</v>
      </c>
      <c r="K425" s="37"/>
      <c r="L425" s="26"/>
      <c r="M425" s="26"/>
      <c r="N425" s="26"/>
      <c r="O425" s="95">
        <v>29826.159909690825</v>
      </c>
      <c r="P425" s="97">
        <f t="shared" ref="P425:P486" si="24">IF(O425="-","-",IF(E425&lt;$E$15,0,O425*J425))</f>
        <v>29826.159909690825</v>
      </c>
      <c r="Q425" s="199"/>
    </row>
    <row r="426" spans="3:17">
      <c r="C426" s="26"/>
      <c r="D426" s="115" t="s">
        <v>624</v>
      </c>
      <c r="E426" s="34">
        <v>49857</v>
      </c>
      <c r="F426" s="92" t="str">
        <f t="shared" si="23"/>
        <v>2036-37</v>
      </c>
      <c r="G426" s="199"/>
      <c r="H426" s="117" t="s">
        <v>197</v>
      </c>
      <c r="I426" s="26">
        <f t="shared" si="22"/>
        <v>7189.7586453201966</v>
      </c>
      <c r="J426" s="100">
        <v>1</v>
      </c>
      <c r="K426" s="37"/>
      <c r="L426" s="26"/>
      <c r="M426" s="26"/>
      <c r="N426" s="26"/>
      <c r="O426" s="95">
        <v>112.46041011292701</v>
      </c>
      <c r="P426" s="97">
        <f t="shared" si="24"/>
        <v>112.46041011292701</v>
      </c>
      <c r="Q426" s="199"/>
    </row>
    <row r="427" spans="3:17">
      <c r="C427" s="26"/>
      <c r="D427" s="115" t="s">
        <v>625</v>
      </c>
      <c r="E427" s="34">
        <v>50222</v>
      </c>
      <c r="F427" s="92" t="str">
        <f t="shared" si="23"/>
        <v>2037-38</v>
      </c>
      <c r="G427" s="199"/>
      <c r="H427" s="117" t="s">
        <v>197</v>
      </c>
      <c r="I427" s="26">
        <f t="shared" si="22"/>
        <v>7189.7586453201966</v>
      </c>
      <c r="J427" s="100">
        <v>1</v>
      </c>
      <c r="K427" s="37"/>
      <c r="L427" s="26"/>
      <c r="M427" s="26"/>
      <c r="N427" s="26"/>
      <c r="O427" s="95">
        <v>1128077.1727837638</v>
      </c>
      <c r="P427" s="97">
        <f t="shared" si="24"/>
        <v>1128077.1727837638</v>
      </c>
      <c r="Q427" s="199"/>
    </row>
    <row r="428" spans="3:17">
      <c r="C428" s="26"/>
      <c r="D428" s="115" t="s">
        <v>626</v>
      </c>
      <c r="E428" s="34">
        <v>50222</v>
      </c>
      <c r="F428" s="92" t="str">
        <f t="shared" si="23"/>
        <v>2037-38</v>
      </c>
      <c r="G428" s="199"/>
      <c r="H428" s="117" t="s">
        <v>197</v>
      </c>
      <c r="I428" s="26">
        <f t="shared" si="22"/>
        <v>7189.7586453201966</v>
      </c>
      <c r="J428" s="100">
        <v>1</v>
      </c>
      <c r="K428" s="37"/>
      <c r="L428" s="26"/>
      <c r="M428" s="26"/>
      <c r="N428" s="26"/>
      <c r="O428" s="95">
        <v>131439.23701647023</v>
      </c>
      <c r="P428" s="97">
        <f t="shared" si="24"/>
        <v>131439.23701647023</v>
      </c>
      <c r="Q428" s="199"/>
    </row>
    <row r="429" spans="3:17">
      <c r="C429" s="26"/>
      <c r="D429" s="115" t="s">
        <v>627</v>
      </c>
      <c r="E429" s="34">
        <v>50222</v>
      </c>
      <c r="F429" s="92" t="str">
        <f t="shared" si="23"/>
        <v>2037-38</v>
      </c>
      <c r="G429" s="199"/>
      <c r="H429" s="117" t="s">
        <v>197</v>
      </c>
      <c r="I429" s="26">
        <f t="shared" si="22"/>
        <v>7189.7586453201966</v>
      </c>
      <c r="J429" s="100">
        <v>1</v>
      </c>
      <c r="K429" s="37"/>
      <c r="L429" s="26"/>
      <c r="M429" s="26"/>
      <c r="N429" s="26"/>
      <c r="O429" s="95">
        <v>393.61143539524454</v>
      </c>
      <c r="P429" s="97">
        <f t="shared" si="24"/>
        <v>393.61143539524454</v>
      </c>
      <c r="Q429" s="199"/>
    </row>
    <row r="430" spans="3:17">
      <c r="C430" s="26"/>
      <c r="D430" s="115" t="s">
        <v>628</v>
      </c>
      <c r="E430" s="34">
        <v>50222</v>
      </c>
      <c r="F430" s="92" t="str">
        <f t="shared" si="23"/>
        <v>2037-38</v>
      </c>
      <c r="G430" s="199"/>
      <c r="H430" s="117" t="s">
        <v>197</v>
      </c>
      <c r="I430" s="26">
        <f t="shared" si="22"/>
        <v>7189.7586453201966</v>
      </c>
      <c r="J430" s="100">
        <v>1</v>
      </c>
      <c r="K430" s="37"/>
      <c r="L430" s="26"/>
      <c r="M430" s="26"/>
      <c r="N430" s="26"/>
      <c r="O430" s="95">
        <v>9.1559754963081765</v>
      </c>
      <c r="P430" s="97">
        <f t="shared" si="24"/>
        <v>9.1559754963081765</v>
      </c>
      <c r="Q430" s="199"/>
    </row>
    <row r="431" spans="3:17">
      <c r="C431" s="26"/>
      <c r="D431" s="115" t="s">
        <v>629</v>
      </c>
      <c r="E431" s="34">
        <v>50587</v>
      </c>
      <c r="F431" s="92" t="str">
        <f t="shared" si="23"/>
        <v>2038-39</v>
      </c>
      <c r="G431" s="199"/>
      <c r="H431" s="117" t="s">
        <v>197</v>
      </c>
      <c r="I431" s="26">
        <f t="shared" si="22"/>
        <v>7189.7586453201966</v>
      </c>
      <c r="J431" s="100">
        <v>1</v>
      </c>
      <c r="K431" s="37"/>
      <c r="L431" s="26"/>
      <c r="M431" s="26"/>
      <c r="N431" s="26"/>
      <c r="O431" s="95">
        <v>1158165.0448062143</v>
      </c>
      <c r="P431" s="97">
        <f t="shared" si="24"/>
        <v>1158165.0448062143</v>
      </c>
      <c r="Q431" s="199"/>
    </row>
    <row r="432" spans="3:17">
      <c r="C432" s="26"/>
      <c r="D432" s="115" t="s">
        <v>630</v>
      </c>
      <c r="E432" s="34">
        <v>50587</v>
      </c>
      <c r="F432" s="92" t="str">
        <f t="shared" si="23"/>
        <v>2038-39</v>
      </c>
      <c r="G432" s="199"/>
      <c r="H432" s="117" t="s">
        <v>197</v>
      </c>
      <c r="I432" s="26">
        <f t="shared" si="22"/>
        <v>7189.7586453201966</v>
      </c>
      <c r="J432" s="100">
        <v>1</v>
      </c>
      <c r="K432" s="37"/>
      <c r="L432" s="26"/>
      <c r="M432" s="26"/>
      <c r="N432" s="26"/>
      <c r="O432" s="95">
        <v>147316.28031440455</v>
      </c>
      <c r="P432" s="97">
        <f t="shared" si="24"/>
        <v>147316.28031440455</v>
      </c>
      <c r="Q432" s="199"/>
    </row>
    <row r="433" spans="3:16">
      <c r="C433" s="26"/>
      <c r="D433" s="115" t="s">
        <v>631</v>
      </c>
      <c r="E433" s="34">
        <v>50587</v>
      </c>
      <c r="F433" s="92" t="str">
        <f t="shared" si="23"/>
        <v>2038-39</v>
      </c>
      <c r="G433" s="199"/>
      <c r="H433" s="117" t="s">
        <v>197</v>
      </c>
      <c r="I433" s="26">
        <f t="shared" si="22"/>
        <v>7189.7586453201966</v>
      </c>
      <c r="J433" s="100">
        <v>1</v>
      </c>
      <c r="K433" s="37"/>
      <c r="L433" s="26"/>
      <c r="M433" s="26"/>
      <c r="N433" s="26"/>
      <c r="O433" s="95">
        <v>674.7624606775621</v>
      </c>
      <c r="P433" s="97">
        <f t="shared" si="24"/>
        <v>674.7624606775621</v>
      </c>
    </row>
    <row r="434" spans="3:16">
      <c r="C434" s="26"/>
      <c r="D434" s="115" t="s">
        <v>632</v>
      </c>
      <c r="E434" s="34">
        <v>50587</v>
      </c>
      <c r="F434" s="92" t="str">
        <f t="shared" si="23"/>
        <v>2038-39</v>
      </c>
      <c r="G434" s="199"/>
      <c r="H434" s="117" t="s">
        <v>197</v>
      </c>
      <c r="I434" s="26">
        <f t="shared" si="22"/>
        <v>7189.7586453201966</v>
      </c>
      <c r="J434" s="100">
        <v>1</v>
      </c>
      <c r="K434" s="37"/>
      <c r="L434" s="26"/>
      <c r="M434" s="26"/>
      <c r="N434" s="26"/>
      <c r="O434" s="95">
        <v>274.67926488924525</v>
      </c>
      <c r="P434" s="97">
        <f t="shared" si="24"/>
        <v>274.67926488924525</v>
      </c>
    </row>
    <row r="435" spans="3:16">
      <c r="C435" s="26"/>
      <c r="D435" s="115" t="s">
        <v>633</v>
      </c>
      <c r="E435" s="34">
        <v>50952</v>
      </c>
      <c r="F435" s="92" t="str">
        <f t="shared" si="23"/>
        <v>2039-40</v>
      </c>
      <c r="G435" s="199"/>
      <c r="H435" s="117" t="s">
        <v>197</v>
      </c>
      <c r="I435" s="26">
        <f t="shared" si="22"/>
        <v>7189.7586453201966</v>
      </c>
      <c r="J435" s="100">
        <v>1</v>
      </c>
      <c r="K435" s="37"/>
      <c r="L435" s="26"/>
      <c r="M435" s="26"/>
      <c r="N435" s="26"/>
      <c r="O435" s="95">
        <v>998132.45013607875</v>
      </c>
      <c r="P435" s="97">
        <f t="shared" si="24"/>
        <v>998132.45013607875</v>
      </c>
    </row>
    <row r="436" spans="3:16">
      <c r="C436" s="26"/>
      <c r="D436" s="115" t="s">
        <v>634</v>
      </c>
      <c r="E436" s="34">
        <v>50952</v>
      </c>
      <c r="F436" s="92" t="str">
        <f t="shared" si="23"/>
        <v>2039-40</v>
      </c>
      <c r="G436" s="199"/>
      <c r="H436" s="117" t="s">
        <v>197</v>
      </c>
      <c r="I436" s="26">
        <f t="shared" si="22"/>
        <v>7189.7586453201966</v>
      </c>
      <c r="J436" s="100">
        <v>1</v>
      </c>
      <c r="K436" s="37"/>
      <c r="L436" s="26"/>
      <c r="M436" s="26"/>
      <c r="N436" s="26"/>
      <c r="O436" s="95">
        <v>39657.713644180905</v>
      </c>
      <c r="P436" s="97">
        <f t="shared" si="24"/>
        <v>39657.713644180905</v>
      </c>
    </row>
    <row r="437" spans="3:16">
      <c r="C437" s="26"/>
      <c r="D437" s="115" t="s">
        <v>635</v>
      </c>
      <c r="E437" s="34">
        <v>50952</v>
      </c>
      <c r="F437" s="92" t="str">
        <f t="shared" si="23"/>
        <v>2039-40</v>
      </c>
      <c r="G437" s="199"/>
      <c r="H437" s="117" t="s">
        <v>197</v>
      </c>
      <c r="I437" s="26">
        <f t="shared" si="22"/>
        <v>7189.7586453201966</v>
      </c>
      <c r="J437" s="100">
        <v>1</v>
      </c>
      <c r="K437" s="37"/>
      <c r="L437" s="26"/>
      <c r="M437" s="26"/>
      <c r="N437" s="26"/>
      <c r="O437" s="95">
        <v>955.91348595987938</v>
      </c>
      <c r="P437" s="97">
        <f t="shared" si="24"/>
        <v>955.91348595987938</v>
      </c>
    </row>
    <row r="438" spans="3:16">
      <c r="C438" s="26"/>
      <c r="D438" s="115" t="s">
        <v>636</v>
      </c>
      <c r="E438" s="34">
        <v>50952</v>
      </c>
      <c r="F438" s="92" t="str">
        <f t="shared" si="23"/>
        <v>2039-40</v>
      </c>
      <c r="G438" s="199"/>
      <c r="H438" s="117" t="s">
        <v>197</v>
      </c>
      <c r="I438" s="26">
        <f t="shared" si="22"/>
        <v>7189.7586453201966</v>
      </c>
      <c r="J438" s="100">
        <v>1</v>
      </c>
      <c r="K438" s="37"/>
      <c r="L438" s="26"/>
      <c r="M438" s="26"/>
      <c r="N438" s="26"/>
      <c r="O438" s="95">
        <v>604.29438275633981</v>
      </c>
      <c r="P438" s="97">
        <f t="shared" si="24"/>
        <v>604.29438275633981</v>
      </c>
    </row>
    <row r="439" spans="3:16">
      <c r="C439" s="26"/>
      <c r="D439" s="115" t="s">
        <v>637</v>
      </c>
      <c r="E439" s="34">
        <v>51318</v>
      </c>
      <c r="F439" s="92" t="str">
        <f t="shared" si="23"/>
        <v>2040-41</v>
      </c>
      <c r="G439" s="199"/>
      <c r="H439" s="117" t="s">
        <v>197</v>
      </c>
      <c r="I439" s="26">
        <f t="shared" si="22"/>
        <v>7189.7586453201966</v>
      </c>
      <c r="J439" s="100">
        <v>1</v>
      </c>
      <c r="K439" s="37"/>
      <c r="L439" s="26"/>
      <c r="M439" s="26"/>
      <c r="N439" s="26"/>
      <c r="O439" s="95">
        <v>690712.88816756173</v>
      </c>
      <c r="P439" s="97">
        <f t="shared" si="24"/>
        <v>690712.88816756173</v>
      </c>
    </row>
    <row r="440" spans="3:16">
      <c r="C440" s="26"/>
      <c r="D440" s="115" t="s">
        <v>638</v>
      </c>
      <c r="E440" s="34">
        <v>51318</v>
      </c>
      <c r="F440" s="92" t="str">
        <f t="shared" si="23"/>
        <v>2040-41</v>
      </c>
      <c r="G440" s="199"/>
      <c r="H440" s="117" t="s">
        <v>197</v>
      </c>
      <c r="I440" s="26">
        <f t="shared" si="22"/>
        <v>7189.7586453201966</v>
      </c>
      <c r="J440" s="100">
        <v>1</v>
      </c>
      <c r="K440" s="37"/>
      <c r="L440" s="26"/>
      <c r="M440" s="26"/>
      <c r="N440" s="26"/>
      <c r="O440" s="95">
        <v>300049.94738046685</v>
      </c>
      <c r="P440" s="97">
        <f t="shared" si="24"/>
        <v>300049.94738046685</v>
      </c>
    </row>
    <row r="441" spans="3:16">
      <c r="C441" s="26"/>
      <c r="D441" s="115" t="s">
        <v>639</v>
      </c>
      <c r="E441" s="34">
        <v>51318</v>
      </c>
      <c r="F441" s="92" t="str">
        <f t="shared" si="23"/>
        <v>2040-41</v>
      </c>
      <c r="G441" s="199"/>
      <c r="H441" s="117" t="s">
        <v>197</v>
      </c>
      <c r="I441" s="26">
        <f t="shared" si="22"/>
        <v>7189.7586453201966</v>
      </c>
      <c r="J441" s="100">
        <v>1</v>
      </c>
      <c r="K441" s="37"/>
      <c r="L441" s="26"/>
      <c r="M441" s="26"/>
      <c r="N441" s="26"/>
      <c r="O441" s="95">
        <v>955.91348595987938</v>
      </c>
      <c r="P441" s="97">
        <f t="shared" si="24"/>
        <v>955.91348595987938</v>
      </c>
    </row>
    <row r="442" spans="3:16">
      <c r="C442" s="26"/>
      <c r="D442" s="115" t="s">
        <v>640</v>
      </c>
      <c r="E442" s="34">
        <v>51318</v>
      </c>
      <c r="F442" s="92" t="str">
        <f t="shared" si="23"/>
        <v>2040-41</v>
      </c>
      <c r="G442" s="199"/>
      <c r="H442" s="117" t="s">
        <v>197</v>
      </c>
      <c r="I442" s="26">
        <f t="shared" si="22"/>
        <v>7189.7586453201966</v>
      </c>
      <c r="J442" s="100">
        <v>1</v>
      </c>
      <c r="K442" s="37"/>
      <c r="L442" s="26"/>
      <c r="M442" s="26"/>
      <c r="N442" s="26"/>
      <c r="O442" s="95">
        <v>668.38621123049688</v>
      </c>
      <c r="P442" s="97">
        <f t="shared" si="24"/>
        <v>668.38621123049688</v>
      </c>
    </row>
    <row r="443" spans="3:16">
      <c r="C443" s="26"/>
      <c r="D443" s="115" t="s">
        <v>641</v>
      </c>
      <c r="E443" s="34">
        <v>51683</v>
      </c>
      <c r="F443" s="92" t="str">
        <f t="shared" si="23"/>
        <v>2041-42</v>
      </c>
      <c r="G443" s="199"/>
      <c r="H443" s="117" t="s">
        <v>197</v>
      </c>
      <c r="I443" s="26">
        <f t="shared" si="22"/>
        <v>7189.7586453201966</v>
      </c>
      <c r="J443" s="100">
        <v>1</v>
      </c>
      <c r="K443" s="37"/>
      <c r="L443" s="26"/>
      <c r="M443" s="26"/>
      <c r="N443" s="26"/>
      <c r="O443" s="95">
        <v>978509.92490404565</v>
      </c>
      <c r="P443" s="97">
        <f t="shared" si="24"/>
        <v>978509.92490404565</v>
      </c>
    </row>
    <row r="444" spans="3:16">
      <c r="C444" s="26"/>
      <c r="D444" s="115" t="s">
        <v>642</v>
      </c>
      <c r="E444" s="34">
        <v>51683</v>
      </c>
      <c r="F444" s="92" t="str">
        <f t="shared" si="23"/>
        <v>2041-42</v>
      </c>
      <c r="G444" s="199"/>
      <c r="H444" s="117" t="s">
        <v>197</v>
      </c>
      <c r="I444" s="26">
        <f t="shared" si="22"/>
        <v>7189.7586453201966</v>
      </c>
      <c r="J444" s="100">
        <v>1</v>
      </c>
      <c r="K444" s="37"/>
      <c r="L444" s="26"/>
      <c r="M444" s="26"/>
      <c r="N444" s="26"/>
      <c r="O444" s="95">
        <v>638222.24597630335</v>
      </c>
      <c r="P444" s="97">
        <f t="shared" si="24"/>
        <v>638222.24597630335</v>
      </c>
    </row>
    <row r="445" spans="3:16">
      <c r="C445" s="26"/>
      <c r="D445" s="115" t="s">
        <v>643</v>
      </c>
      <c r="E445" s="34">
        <v>51683</v>
      </c>
      <c r="F445" s="92" t="str">
        <f t="shared" si="23"/>
        <v>2041-42</v>
      </c>
      <c r="G445" s="199"/>
      <c r="H445" s="117" t="s">
        <v>197</v>
      </c>
      <c r="I445" s="26">
        <f t="shared" si="22"/>
        <v>7189.7586453201966</v>
      </c>
      <c r="J445" s="100">
        <v>1</v>
      </c>
      <c r="K445" s="37"/>
      <c r="L445" s="26"/>
      <c r="M445" s="26"/>
      <c r="N445" s="26"/>
      <c r="O445" s="95">
        <v>955.91348595987938</v>
      </c>
      <c r="P445" s="97">
        <f t="shared" si="24"/>
        <v>955.91348595987938</v>
      </c>
    </row>
    <row r="446" spans="3:16">
      <c r="C446" s="26"/>
      <c r="D446" s="115" t="s">
        <v>644</v>
      </c>
      <c r="E446" s="34">
        <v>51683</v>
      </c>
      <c r="F446" s="92" t="str">
        <f t="shared" si="23"/>
        <v>2041-42</v>
      </c>
      <c r="G446" s="199"/>
      <c r="H446" s="117" t="s">
        <v>197</v>
      </c>
      <c r="I446" s="26">
        <f t="shared" si="22"/>
        <v>7189.7586453201966</v>
      </c>
      <c r="J446" s="100">
        <v>1</v>
      </c>
      <c r="K446" s="37"/>
      <c r="L446" s="26"/>
      <c r="M446" s="26"/>
      <c r="N446" s="26"/>
      <c r="O446" s="95">
        <v>695.85413771942137</v>
      </c>
      <c r="P446" s="97">
        <f t="shared" si="24"/>
        <v>695.85413771942137</v>
      </c>
    </row>
    <row r="447" spans="3:16">
      <c r="C447" s="26"/>
      <c r="D447" s="115" t="s">
        <v>645</v>
      </c>
      <c r="E447" s="34">
        <v>52048</v>
      </c>
      <c r="F447" s="92" t="str">
        <f t="shared" si="23"/>
        <v>2042-43</v>
      </c>
      <c r="G447" s="199"/>
      <c r="H447" s="117" t="s">
        <v>197</v>
      </c>
      <c r="I447" s="26">
        <f t="shared" si="22"/>
        <v>7189.7586453201966</v>
      </c>
      <c r="J447" s="100">
        <v>1</v>
      </c>
      <c r="K447" s="37"/>
      <c r="L447" s="26"/>
      <c r="M447" s="26"/>
      <c r="N447" s="26"/>
      <c r="O447" s="95">
        <v>1151188.1469459361</v>
      </c>
      <c r="P447" s="97">
        <f t="shared" si="24"/>
        <v>1151188.1469459361</v>
      </c>
    </row>
    <row r="448" spans="3:16">
      <c r="C448" s="26"/>
      <c r="D448" s="115" t="s">
        <v>646</v>
      </c>
      <c r="E448" s="34">
        <v>52048</v>
      </c>
      <c r="F448" s="92" t="str">
        <f t="shared" si="23"/>
        <v>2042-43</v>
      </c>
      <c r="G448" s="199"/>
      <c r="H448" s="117" t="s">
        <v>197</v>
      </c>
      <c r="I448" s="26">
        <f t="shared" si="22"/>
        <v>7189.7586453201966</v>
      </c>
      <c r="J448" s="100">
        <v>1</v>
      </c>
      <c r="K448" s="37"/>
      <c r="L448" s="26"/>
      <c r="M448" s="26"/>
      <c r="N448" s="26"/>
      <c r="O448" s="95">
        <v>704321.34326665965</v>
      </c>
      <c r="P448" s="97">
        <f t="shared" si="24"/>
        <v>704321.34326665965</v>
      </c>
    </row>
    <row r="449" spans="3:16">
      <c r="C449" s="26"/>
      <c r="D449" s="115" t="s">
        <v>647</v>
      </c>
      <c r="E449" s="34">
        <v>52048</v>
      </c>
      <c r="F449" s="92" t="str">
        <f t="shared" si="23"/>
        <v>2042-43</v>
      </c>
      <c r="G449" s="199"/>
      <c r="H449" s="117" t="s">
        <v>197</v>
      </c>
      <c r="I449" s="26">
        <f t="shared" si="22"/>
        <v>7189.7586453201966</v>
      </c>
      <c r="J449" s="100">
        <v>1</v>
      </c>
      <c r="K449" s="37"/>
      <c r="L449" s="26"/>
      <c r="M449" s="26"/>
      <c r="N449" s="26"/>
      <c r="O449" s="95">
        <v>955.91348595987938</v>
      </c>
      <c r="P449" s="97">
        <f t="shared" si="24"/>
        <v>955.91348595987938</v>
      </c>
    </row>
    <row r="450" spans="3:16">
      <c r="C450" s="26"/>
      <c r="D450" s="115" t="s">
        <v>648</v>
      </c>
      <c r="E450" s="34">
        <v>52048</v>
      </c>
      <c r="F450" s="92" t="str">
        <f t="shared" si="23"/>
        <v>2042-43</v>
      </c>
      <c r="G450" s="199"/>
      <c r="H450" s="117" t="s">
        <v>197</v>
      </c>
      <c r="I450" s="26">
        <f t="shared" si="22"/>
        <v>7189.7586453201966</v>
      </c>
      <c r="J450" s="100">
        <v>1</v>
      </c>
      <c r="K450" s="37"/>
      <c r="L450" s="26"/>
      <c r="M450" s="26"/>
      <c r="N450" s="26"/>
      <c r="O450" s="95">
        <v>705.01011321572946</v>
      </c>
      <c r="P450" s="97">
        <f t="shared" si="24"/>
        <v>705.01011321572946</v>
      </c>
    </row>
    <row r="451" spans="3:16">
      <c r="C451" s="26"/>
      <c r="D451" s="115" t="s">
        <v>649</v>
      </c>
      <c r="E451" s="34">
        <v>52413</v>
      </c>
      <c r="F451" s="92" t="str">
        <f t="shared" si="23"/>
        <v>2043-44</v>
      </c>
      <c r="G451" s="199"/>
      <c r="H451" s="117" t="s">
        <v>197</v>
      </c>
      <c r="I451" s="26">
        <f t="shared" si="22"/>
        <v>7189.7586453201966</v>
      </c>
      <c r="J451" s="100">
        <v>1</v>
      </c>
      <c r="K451" s="37"/>
      <c r="L451" s="26"/>
      <c r="M451" s="26"/>
      <c r="N451" s="26"/>
      <c r="O451" s="95">
        <v>1151188.1469459361</v>
      </c>
      <c r="P451" s="97">
        <f t="shared" si="24"/>
        <v>1151188.1469459361</v>
      </c>
    </row>
    <row r="452" spans="3:16">
      <c r="C452" s="26"/>
      <c r="D452" s="115" t="s">
        <v>650</v>
      </c>
      <c r="E452" s="34">
        <v>52413</v>
      </c>
      <c r="F452" s="92" t="str">
        <f t="shared" si="23"/>
        <v>2043-44</v>
      </c>
      <c r="G452" s="199"/>
      <c r="H452" s="117" t="s">
        <v>197</v>
      </c>
      <c r="I452" s="26">
        <f t="shared" si="22"/>
        <v>7189.7586453201966</v>
      </c>
      <c r="J452" s="100">
        <v>1</v>
      </c>
      <c r="K452" s="37"/>
      <c r="L452" s="26"/>
      <c r="M452" s="26"/>
      <c r="N452" s="26"/>
      <c r="O452" s="95">
        <v>732455.1150445923</v>
      </c>
      <c r="P452" s="97">
        <f t="shared" si="24"/>
        <v>732455.1150445923</v>
      </c>
    </row>
    <row r="453" spans="3:16">
      <c r="C453" s="26"/>
      <c r="D453" s="115" t="s">
        <v>651</v>
      </c>
      <c r="E453" s="34">
        <v>52413</v>
      </c>
      <c r="F453" s="92" t="str">
        <f t="shared" si="23"/>
        <v>2043-44</v>
      </c>
      <c r="G453" s="199"/>
      <c r="H453" s="117" t="s">
        <v>197</v>
      </c>
      <c r="I453" s="26">
        <f t="shared" si="22"/>
        <v>7189.7586453201966</v>
      </c>
      <c r="J453" s="100">
        <v>1</v>
      </c>
      <c r="K453" s="37"/>
      <c r="L453" s="26"/>
      <c r="M453" s="26"/>
      <c r="N453" s="26"/>
      <c r="O453" s="95">
        <v>955.91348595987938</v>
      </c>
      <c r="P453" s="97">
        <f t="shared" si="24"/>
        <v>955.91348595987938</v>
      </c>
    </row>
    <row r="454" spans="3:16">
      <c r="C454" s="26"/>
      <c r="D454" s="115" t="s">
        <v>652</v>
      </c>
      <c r="E454" s="34">
        <v>52413</v>
      </c>
      <c r="F454" s="92" t="str">
        <f t="shared" si="23"/>
        <v>2043-44</v>
      </c>
      <c r="G454" s="199"/>
      <c r="H454" s="117" t="s">
        <v>197</v>
      </c>
      <c r="I454" s="26">
        <f t="shared" si="22"/>
        <v>7189.7586453201966</v>
      </c>
      <c r="J454" s="100">
        <v>1</v>
      </c>
      <c r="K454" s="37"/>
      <c r="L454" s="26"/>
      <c r="M454" s="26"/>
      <c r="N454" s="26"/>
      <c r="O454" s="95">
        <v>714.16608871203778</v>
      </c>
      <c r="P454" s="97">
        <f>IF(O454="-","-",IF(E454&lt;$E$15,0,O454*J454))</f>
        <v>714.16608871203778</v>
      </c>
    </row>
    <row r="455" spans="3:16" s="196" customFormat="1">
      <c r="C455" s="26"/>
      <c r="D455" s="115" t="s">
        <v>653</v>
      </c>
      <c r="E455" s="34">
        <v>52779</v>
      </c>
      <c r="F455" s="92" t="str">
        <f t="shared" si="23"/>
        <v>2044-45</v>
      </c>
      <c r="G455" s="199"/>
      <c r="H455" s="117" t="s">
        <v>197</v>
      </c>
      <c r="I455" s="26">
        <f t="shared" si="22"/>
        <v>7189.7586453201966</v>
      </c>
      <c r="J455" s="100">
        <f>J454</f>
        <v>1</v>
      </c>
      <c r="K455" s="37"/>
      <c r="L455" s="26"/>
      <c r="M455" s="26"/>
      <c r="N455" s="26"/>
      <c r="O455" s="95">
        <v>1151188.1469459361</v>
      </c>
      <c r="P455" s="97">
        <f>IF(O455="-","-",IF(E455&lt;$E$15,0,O455*J455))</f>
        <v>1151188.1469459361</v>
      </c>
    </row>
    <row r="456" spans="3:16" s="196" customFormat="1">
      <c r="C456" s="26"/>
      <c r="D456" s="115" t="s">
        <v>654</v>
      </c>
      <c r="E456" s="34">
        <v>52779</v>
      </c>
      <c r="F456" s="92" t="str">
        <f t="shared" si="23"/>
        <v>2044-45</v>
      </c>
      <c r="G456" s="199"/>
      <c r="H456" s="117" t="s">
        <v>197</v>
      </c>
      <c r="I456" s="26">
        <f t="shared" si="22"/>
        <v>7189.7586453201966</v>
      </c>
      <c r="J456" s="100">
        <f t="shared" ref="J456:J470" si="25">J455</f>
        <v>1</v>
      </c>
      <c r="K456" s="37"/>
      <c r="L456" s="26"/>
      <c r="M456" s="26"/>
      <c r="N456" s="26"/>
      <c r="O456" s="95">
        <v>741606.22406631394</v>
      </c>
      <c r="P456" s="97">
        <f t="shared" si="24"/>
        <v>741606.22406631394</v>
      </c>
    </row>
    <row r="457" spans="3:16" s="196" customFormat="1">
      <c r="C457" s="26"/>
      <c r="D457" s="115" t="s">
        <v>655</v>
      </c>
      <c r="E457" s="34">
        <v>52779</v>
      </c>
      <c r="F457" s="92" t="str">
        <f t="shared" si="23"/>
        <v>2044-45</v>
      </c>
      <c r="G457" s="199"/>
      <c r="H457" s="117" t="s">
        <v>197</v>
      </c>
      <c r="I457" s="26">
        <f t="shared" si="22"/>
        <v>7189.7586453201966</v>
      </c>
      <c r="J457" s="100">
        <f t="shared" si="25"/>
        <v>1</v>
      </c>
      <c r="K457" s="37"/>
      <c r="L457" s="26"/>
      <c r="M457" s="26"/>
      <c r="N457" s="26"/>
      <c r="O457" s="95">
        <v>955.91348595987938</v>
      </c>
      <c r="P457" s="97">
        <f t="shared" si="24"/>
        <v>955.91348595987938</v>
      </c>
    </row>
    <row r="458" spans="3:16" s="196" customFormat="1">
      <c r="C458" s="26"/>
      <c r="D458" s="115" t="s">
        <v>656</v>
      </c>
      <c r="E458" s="34">
        <v>52779</v>
      </c>
      <c r="F458" s="92" t="str">
        <f t="shared" si="23"/>
        <v>2044-45</v>
      </c>
      <c r="G458" s="199"/>
      <c r="H458" s="117" t="s">
        <v>197</v>
      </c>
      <c r="I458" s="26">
        <f t="shared" si="22"/>
        <v>7189.7586453201966</v>
      </c>
      <c r="J458" s="100">
        <f t="shared" si="25"/>
        <v>1</v>
      </c>
      <c r="K458" s="37"/>
      <c r="L458" s="26"/>
      <c r="M458" s="26"/>
      <c r="N458" s="26"/>
      <c r="O458" s="95">
        <v>723.32206420834586</v>
      </c>
      <c r="P458" s="97">
        <f t="shared" si="24"/>
        <v>723.32206420834586</v>
      </c>
    </row>
    <row r="459" spans="3:16" s="196" customFormat="1">
      <c r="C459" s="26"/>
      <c r="D459" s="115" t="s">
        <v>657</v>
      </c>
      <c r="E459" s="34">
        <v>53144</v>
      </c>
      <c r="F459" s="92" t="str">
        <f t="shared" si="23"/>
        <v>2045-46</v>
      </c>
      <c r="G459" s="199"/>
      <c r="H459" s="117" t="s">
        <v>197</v>
      </c>
      <c r="I459" s="26">
        <f t="shared" si="22"/>
        <v>7189.7586453201966</v>
      </c>
      <c r="J459" s="100">
        <f t="shared" si="25"/>
        <v>1</v>
      </c>
      <c r="K459" s="37"/>
      <c r="L459" s="26"/>
      <c r="M459" s="26"/>
      <c r="N459" s="26"/>
      <c r="O459" s="95">
        <v>1151188.1469459361</v>
      </c>
      <c r="P459" s="97">
        <f t="shared" si="24"/>
        <v>1151188.1469459361</v>
      </c>
    </row>
    <row r="460" spans="3:16" s="196" customFormat="1">
      <c r="C460" s="26"/>
      <c r="D460" s="115" t="s">
        <v>658</v>
      </c>
      <c r="E460" s="34">
        <v>53144</v>
      </c>
      <c r="F460" s="92" t="str">
        <f t="shared" si="23"/>
        <v>2045-46</v>
      </c>
      <c r="G460" s="199"/>
      <c r="H460" s="117" t="s">
        <v>197</v>
      </c>
      <c r="I460" s="26">
        <f t="shared" si="22"/>
        <v>7189.7586453201966</v>
      </c>
      <c r="J460" s="100">
        <f t="shared" si="25"/>
        <v>1</v>
      </c>
      <c r="K460" s="37"/>
      <c r="L460" s="26"/>
      <c r="M460" s="26"/>
      <c r="N460" s="26"/>
      <c r="O460" s="95">
        <v>768902.52542853169</v>
      </c>
      <c r="P460" s="97">
        <f t="shared" si="24"/>
        <v>768902.52542853169</v>
      </c>
    </row>
    <row r="461" spans="3:16" s="196" customFormat="1">
      <c r="C461" s="26"/>
      <c r="D461" s="115" t="s">
        <v>659</v>
      </c>
      <c r="E461" s="34">
        <v>53144</v>
      </c>
      <c r="F461" s="92" t="str">
        <f t="shared" si="23"/>
        <v>2045-46</v>
      </c>
      <c r="G461" s="199"/>
      <c r="H461" s="117" t="s">
        <v>197</v>
      </c>
      <c r="I461" s="26">
        <f t="shared" si="22"/>
        <v>7189.7586453201966</v>
      </c>
      <c r="J461" s="100">
        <f t="shared" si="25"/>
        <v>1</v>
      </c>
      <c r="K461" s="37"/>
      <c r="L461" s="26"/>
      <c r="M461" s="26"/>
      <c r="N461" s="26"/>
      <c r="O461" s="95">
        <v>955.91348595987938</v>
      </c>
      <c r="P461" s="97">
        <f t="shared" si="24"/>
        <v>955.91348595987938</v>
      </c>
    </row>
    <row r="462" spans="3:16" s="196" customFormat="1">
      <c r="C462" s="26"/>
      <c r="D462" s="115" t="s">
        <v>660</v>
      </c>
      <c r="E462" s="34">
        <v>53144</v>
      </c>
      <c r="F462" s="92" t="str">
        <f t="shared" si="23"/>
        <v>2045-46</v>
      </c>
      <c r="G462" s="199"/>
      <c r="H462" s="117" t="s">
        <v>197</v>
      </c>
      <c r="I462" s="26">
        <f t="shared" si="22"/>
        <v>7189.7586453201966</v>
      </c>
      <c r="J462" s="100">
        <f t="shared" si="25"/>
        <v>1</v>
      </c>
      <c r="K462" s="37"/>
      <c r="L462" s="26"/>
      <c r="M462" s="26"/>
      <c r="N462" s="26"/>
      <c r="O462" s="95">
        <v>732.47803970465384</v>
      </c>
      <c r="P462" s="97">
        <f t="shared" si="24"/>
        <v>732.47803970465384</v>
      </c>
    </row>
    <row r="463" spans="3:16" s="196" customFormat="1">
      <c r="C463" s="26"/>
      <c r="D463" s="115" t="s">
        <v>661</v>
      </c>
      <c r="E463" s="34">
        <v>53509</v>
      </c>
      <c r="F463" s="92" t="str">
        <f t="shared" si="23"/>
        <v>2046-47</v>
      </c>
      <c r="G463" s="199"/>
      <c r="H463" s="117" t="s">
        <v>197</v>
      </c>
      <c r="I463" s="26">
        <f t="shared" si="22"/>
        <v>7189.7586453201966</v>
      </c>
      <c r="J463" s="100">
        <f t="shared" si="25"/>
        <v>1</v>
      </c>
      <c r="K463" s="37"/>
      <c r="L463" s="26"/>
      <c r="M463" s="26"/>
      <c r="N463" s="26"/>
      <c r="O463" s="95">
        <v>1151188.1469459361</v>
      </c>
      <c r="P463" s="97">
        <f t="shared" si="24"/>
        <v>1151188.1469459361</v>
      </c>
    </row>
    <row r="464" spans="3:16" s="196" customFormat="1">
      <c r="C464" s="26"/>
      <c r="D464" s="115" t="s">
        <v>662</v>
      </c>
      <c r="E464" s="34">
        <v>53509</v>
      </c>
      <c r="F464" s="92" t="str">
        <f t="shared" si="23"/>
        <v>2046-47</v>
      </c>
      <c r="G464" s="199"/>
      <c r="H464" s="117" t="s">
        <v>197</v>
      </c>
      <c r="I464" s="26">
        <f t="shared" si="22"/>
        <v>7189.7586453201966</v>
      </c>
      <c r="J464" s="100">
        <f t="shared" si="25"/>
        <v>1</v>
      </c>
      <c r="K464" s="37"/>
      <c r="L464" s="26"/>
      <c r="M464" s="26"/>
      <c r="N464" s="26"/>
      <c r="O464" s="95">
        <v>805384.8304131258</v>
      </c>
      <c r="P464" s="97">
        <f t="shared" si="24"/>
        <v>805384.8304131258</v>
      </c>
    </row>
    <row r="465" spans="3:16" s="196" customFormat="1">
      <c r="C465" s="26"/>
      <c r="D465" s="115" t="s">
        <v>663</v>
      </c>
      <c r="E465" s="34">
        <v>53509</v>
      </c>
      <c r="F465" s="92" t="str">
        <f t="shared" si="23"/>
        <v>2046-47</v>
      </c>
      <c r="G465" s="199"/>
      <c r="H465" s="117" t="s">
        <v>197</v>
      </c>
      <c r="I465" s="26">
        <f t="shared" si="22"/>
        <v>7189.7586453201966</v>
      </c>
      <c r="J465" s="100">
        <f t="shared" si="25"/>
        <v>1</v>
      </c>
      <c r="K465" s="37"/>
      <c r="L465" s="26"/>
      <c r="M465" s="26"/>
      <c r="N465" s="26"/>
      <c r="O465" s="95">
        <v>955.91348595987938</v>
      </c>
      <c r="P465" s="97">
        <f t="shared" si="24"/>
        <v>955.91348595987938</v>
      </c>
    </row>
    <row r="466" spans="3:16" s="196" customFormat="1">
      <c r="C466" s="26"/>
      <c r="D466" s="115" t="s">
        <v>664</v>
      </c>
      <c r="E466" s="34">
        <v>53509</v>
      </c>
      <c r="F466" s="92" t="str">
        <f t="shared" si="23"/>
        <v>2046-47</v>
      </c>
      <c r="G466" s="199"/>
      <c r="H466" s="117" t="s">
        <v>197</v>
      </c>
      <c r="I466" s="26">
        <f t="shared" ref="I466:I492" si="26">I465</f>
        <v>7189.7586453201966</v>
      </c>
      <c r="J466" s="100">
        <f t="shared" si="25"/>
        <v>1</v>
      </c>
      <c r="K466" s="37"/>
      <c r="L466" s="26"/>
      <c r="M466" s="26"/>
      <c r="N466" s="26"/>
      <c r="O466" s="95">
        <v>787.41389268250293</v>
      </c>
      <c r="P466" s="97">
        <f t="shared" si="24"/>
        <v>787.41389268250293</v>
      </c>
    </row>
    <row r="467" spans="3:16" s="196" customFormat="1">
      <c r="C467" s="26"/>
      <c r="D467" s="115" t="s">
        <v>665</v>
      </c>
      <c r="E467" s="34">
        <v>53874</v>
      </c>
      <c r="F467" s="92" t="str">
        <f t="shared" si="23"/>
        <v>2047-48</v>
      </c>
      <c r="G467" s="199"/>
      <c r="H467" s="117" t="s">
        <v>197</v>
      </c>
      <c r="I467" s="26">
        <f t="shared" si="26"/>
        <v>7189.7586453201966</v>
      </c>
      <c r="J467" s="100">
        <f t="shared" si="25"/>
        <v>1</v>
      </c>
      <c r="K467" s="37"/>
      <c r="L467" s="26"/>
      <c r="M467" s="26"/>
      <c r="N467" s="26"/>
      <c r="O467" s="95">
        <v>1151188.1469459361</v>
      </c>
      <c r="P467" s="97">
        <f t="shared" si="24"/>
        <v>1151188.1469459361</v>
      </c>
    </row>
    <row r="468" spans="3:16" s="196" customFormat="1">
      <c r="C468" s="26"/>
      <c r="D468" s="115" t="s">
        <v>666</v>
      </c>
      <c r="E468" s="34">
        <v>53874</v>
      </c>
      <c r="F468" s="92" t="str">
        <f t="shared" si="23"/>
        <v>2047-48</v>
      </c>
      <c r="G468" s="199"/>
      <c r="H468" s="117" t="s">
        <v>197</v>
      </c>
      <c r="I468" s="26">
        <f t="shared" si="26"/>
        <v>7189.7586453201966</v>
      </c>
      <c r="J468" s="100">
        <f t="shared" si="25"/>
        <v>1</v>
      </c>
      <c r="K468" s="37"/>
      <c r="L468" s="26"/>
      <c r="M468" s="26"/>
      <c r="N468" s="26"/>
      <c r="O468" s="95">
        <v>759306.51024846151</v>
      </c>
      <c r="P468" s="97">
        <f t="shared" si="24"/>
        <v>759306.51024846151</v>
      </c>
    </row>
    <row r="469" spans="3:16" s="196" customFormat="1">
      <c r="C469" s="26"/>
      <c r="D469" s="115" t="s">
        <v>667</v>
      </c>
      <c r="E469" s="34">
        <v>53874</v>
      </c>
      <c r="F469" s="92" t="str">
        <f t="shared" si="23"/>
        <v>2047-48</v>
      </c>
      <c r="G469" s="199"/>
      <c r="H469" s="117" t="s">
        <v>197</v>
      </c>
      <c r="I469" s="26">
        <f t="shared" si="26"/>
        <v>7189.7586453201966</v>
      </c>
      <c r="J469" s="100">
        <f t="shared" si="25"/>
        <v>1</v>
      </c>
      <c r="K469" s="37"/>
      <c r="L469" s="26"/>
      <c r="M469" s="26"/>
      <c r="N469" s="26"/>
      <c r="O469" s="95">
        <v>955.91348595987938</v>
      </c>
      <c r="P469" s="97">
        <f t="shared" si="24"/>
        <v>955.91348595987938</v>
      </c>
    </row>
    <row r="470" spans="3:16" s="196" customFormat="1">
      <c r="C470" s="26"/>
      <c r="D470" s="115" t="s">
        <v>668</v>
      </c>
      <c r="E470" s="34">
        <v>53874</v>
      </c>
      <c r="F470" s="92" t="str">
        <f t="shared" si="23"/>
        <v>2047-48</v>
      </c>
      <c r="G470" s="199"/>
      <c r="H470" s="117" t="s">
        <v>197</v>
      </c>
      <c r="I470" s="26">
        <f t="shared" si="26"/>
        <v>7189.7586453201966</v>
      </c>
      <c r="J470" s="100">
        <f t="shared" si="25"/>
        <v>1</v>
      </c>
      <c r="K470" s="37"/>
      <c r="L470" s="26"/>
      <c r="M470" s="26"/>
      <c r="N470" s="26"/>
      <c r="O470" s="95">
        <v>915.59754963081741</v>
      </c>
      <c r="P470" s="97">
        <f t="shared" si="24"/>
        <v>915.59754963081741</v>
      </c>
    </row>
    <row r="471" spans="3:16" s="196" customFormat="1">
      <c r="C471" s="26"/>
      <c r="D471" s="115" t="s">
        <v>669</v>
      </c>
      <c r="E471" s="34">
        <v>54240</v>
      </c>
      <c r="F471" s="92" t="str">
        <f t="shared" si="23"/>
        <v>2048-49</v>
      </c>
      <c r="G471" s="199"/>
      <c r="H471" s="117" t="str">
        <f>H470</f>
        <v>Mamre Rd</v>
      </c>
      <c r="I471" s="26">
        <f t="shared" si="26"/>
        <v>7189.7586453201966</v>
      </c>
      <c r="J471" s="100">
        <f>J470</f>
        <v>1</v>
      </c>
      <c r="K471" s="37"/>
      <c r="L471" s="26"/>
      <c r="M471" s="26"/>
      <c r="N471" s="26"/>
      <c r="O471" s="95">
        <v>1151188.1469459361</v>
      </c>
      <c r="P471" s="97">
        <f t="shared" si="24"/>
        <v>1151188.1469459361</v>
      </c>
    </row>
    <row r="472" spans="3:16" s="196" customFormat="1">
      <c r="C472" s="26"/>
      <c r="D472" s="115" t="s">
        <v>670</v>
      </c>
      <c r="E472" s="34">
        <v>54240</v>
      </c>
      <c r="F472" s="92" t="str">
        <f t="shared" si="23"/>
        <v>2048-49</v>
      </c>
      <c r="G472" s="199"/>
      <c r="H472" s="117" t="str">
        <f t="shared" ref="H472:H482" si="27">H471</f>
        <v>Mamre Rd</v>
      </c>
      <c r="I472" s="26">
        <f t="shared" si="26"/>
        <v>7189.7586453201966</v>
      </c>
      <c r="J472" s="100">
        <f t="shared" ref="J472:J482" si="28">J471</f>
        <v>1</v>
      </c>
      <c r="K472" s="37"/>
      <c r="L472" s="26"/>
      <c r="M472" s="26"/>
      <c r="N472" s="26"/>
      <c r="O472" s="95">
        <v>816254.49851709593</v>
      </c>
      <c r="P472" s="97">
        <f t="shared" si="24"/>
        <v>816254.49851709593</v>
      </c>
    </row>
    <row r="473" spans="3:16" s="196" customFormat="1">
      <c r="C473" s="26"/>
      <c r="D473" s="115" t="s">
        <v>671</v>
      </c>
      <c r="E473" s="34">
        <v>54240</v>
      </c>
      <c r="F473" s="92" t="str">
        <f t="shared" si="23"/>
        <v>2048-49</v>
      </c>
      <c r="G473" s="199"/>
      <c r="H473" s="117" t="str">
        <f t="shared" si="27"/>
        <v>Mamre Rd</v>
      </c>
      <c r="I473" s="26">
        <f t="shared" si="26"/>
        <v>7189.7586453201966</v>
      </c>
      <c r="J473" s="100">
        <f t="shared" si="28"/>
        <v>1</v>
      </c>
      <c r="K473" s="37"/>
      <c r="L473" s="26"/>
      <c r="M473" s="26"/>
      <c r="N473" s="26"/>
      <c r="O473" s="95">
        <v>4367.2125927186644</v>
      </c>
      <c r="P473" s="97">
        <f t="shared" si="24"/>
        <v>4367.2125927186644</v>
      </c>
    </row>
    <row r="474" spans="3:16" s="196" customFormat="1">
      <c r="C474" s="26"/>
      <c r="D474" s="115" t="s">
        <v>672</v>
      </c>
      <c r="E474" s="34">
        <v>54240</v>
      </c>
      <c r="F474" s="92" t="str">
        <f t="shared" si="23"/>
        <v>2048-49</v>
      </c>
      <c r="G474" s="199"/>
      <c r="H474" s="117" t="str">
        <f t="shared" si="27"/>
        <v>Mamre Rd</v>
      </c>
      <c r="I474" s="26">
        <f t="shared" si="26"/>
        <v>7189.7586453201966</v>
      </c>
      <c r="J474" s="100">
        <f t="shared" si="28"/>
        <v>1</v>
      </c>
      <c r="K474" s="37"/>
      <c r="L474" s="26"/>
      <c r="M474" s="26"/>
      <c r="N474" s="26"/>
      <c r="O474" s="95">
        <v>915.59754963081741</v>
      </c>
      <c r="P474" s="97">
        <f t="shared" si="24"/>
        <v>915.59754963081741</v>
      </c>
    </row>
    <row r="475" spans="3:16" s="196" customFormat="1">
      <c r="C475" s="26"/>
      <c r="D475" s="115" t="s">
        <v>673</v>
      </c>
      <c r="E475" s="34">
        <v>54605</v>
      </c>
      <c r="F475" s="92" t="str">
        <f t="shared" si="23"/>
        <v>2049-50</v>
      </c>
      <c r="G475" s="199"/>
      <c r="H475" s="117" t="str">
        <f t="shared" si="27"/>
        <v>Mamre Rd</v>
      </c>
      <c r="I475" s="26">
        <f t="shared" si="26"/>
        <v>7189.7586453201966</v>
      </c>
      <c r="J475" s="100">
        <f t="shared" si="28"/>
        <v>1</v>
      </c>
      <c r="K475" s="37"/>
      <c r="L475" s="26"/>
      <c r="M475" s="26"/>
      <c r="N475" s="26"/>
      <c r="O475" s="95">
        <v>1151188.1469459361</v>
      </c>
      <c r="P475" s="97">
        <f t="shared" si="24"/>
        <v>1151188.1469459361</v>
      </c>
    </row>
    <row r="476" spans="3:16" s="196" customFormat="1">
      <c r="C476" s="26"/>
      <c r="D476" s="115" t="s">
        <v>674</v>
      </c>
      <c r="E476" s="34">
        <v>54605</v>
      </c>
      <c r="F476" s="92" t="str">
        <f t="shared" si="23"/>
        <v>2049-50</v>
      </c>
      <c r="G476" s="199"/>
      <c r="H476" s="117" t="str">
        <f t="shared" si="27"/>
        <v>Mamre Rd</v>
      </c>
      <c r="I476" s="26">
        <f t="shared" si="26"/>
        <v>7189.7586453201966</v>
      </c>
      <c r="J476" s="100">
        <f t="shared" si="28"/>
        <v>1</v>
      </c>
      <c r="K476" s="37"/>
      <c r="L476" s="26"/>
      <c r="M476" s="26"/>
      <c r="N476" s="26"/>
      <c r="O476" s="95">
        <v>949133.13781057694</v>
      </c>
      <c r="P476" s="97">
        <f t="shared" si="24"/>
        <v>949133.13781057694</v>
      </c>
    </row>
    <row r="477" spans="3:16" s="196" customFormat="1">
      <c r="C477" s="26"/>
      <c r="D477" s="115" t="s">
        <v>675</v>
      </c>
      <c r="E477" s="34">
        <v>54605</v>
      </c>
      <c r="F477" s="92" t="str">
        <f t="shared" si="23"/>
        <v>2049-50</v>
      </c>
      <c r="G477" s="199"/>
      <c r="H477" s="117" t="str">
        <f t="shared" si="27"/>
        <v>Mamre Rd</v>
      </c>
      <c r="I477" s="26">
        <f t="shared" si="26"/>
        <v>7189.7586453201966</v>
      </c>
      <c r="J477" s="100">
        <f t="shared" si="28"/>
        <v>1</v>
      </c>
      <c r="K477" s="37"/>
      <c r="L477" s="26"/>
      <c r="M477" s="26"/>
      <c r="N477" s="26"/>
      <c r="O477" s="95">
        <v>9371.7008427439177</v>
      </c>
      <c r="P477" s="97">
        <f t="shared" si="24"/>
        <v>9371.7008427439177</v>
      </c>
    </row>
    <row r="478" spans="3:16" s="196" customFormat="1">
      <c r="C478" s="26"/>
      <c r="D478" s="115" t="s">
        <v>676</v>
      </c>
      <c r="E478" s="34">
        <v>54605</v>
      </c>
      <c r="F478" s="92" t="str">
        <f t="shared" si="23"/>
        <v>2049-50</v>
      </c>
      <c r="G478" s="199"/>
      <c r="H478" s="117" t="str">
        <f t="shared" si="27"/>
        <v>Mamre Rd</v>
      </c>
      <c r="I478" s="26">
        <f t="shared" si="26"/>
        <v>7189.7586453201966</v>
      </c>
      <c r="J478" s="100">
        <f t="shared" si="28"/>
        <v>1</v>
      </c>
      <c r="K478" s="37"/>
      <c r="L478" s="26"/>
      <c r="M478" s="26"/>
      <c r="N478" s="26"/>
      <c r="O478" s="95">
        <v>1193.3288063521654</v>
      </c>
      <c r="P478" s="97">
        <f t="shared" si="24"/>
        <v>1193.3288063521654</v>
      </c>
    </row>
    <row r="479" spans="3:16" s="196" customFormat="1">
      <c r="C479" s="26"/>
      <c r="D479" s="115" t="s">
        <v>677</v>
      </c>
      <c r="E479" s="34">
        <v>54970</v>
      </c>
      <c r="F479" s="92" t="str">
        <f t="shared" si="23"/>
        <v>2050-51</v>
      </c>
      <c r="G479" s="199"/>
      <c r="H479" s="117" t="str">
        <f t="shared" si="27"/>
        <v>Mamre Rd</v>
      </c>
      <c r="I479" s="26">
        <f t="shared" si="26"/>
        <v>7189.7586453201966</v>
      </c>
      <c r="J479" s="100">
        <f t="shared" si="28"/>
        <v>1</v>
      </c>
      <c r="K479" s="37"/>
      <c r="L479" s="26"/>
      <c r="M479" s="26"/>
      <c r="N479" s="26"/>
      <c r="O479" s="95">
        <v>4648567.5063462919</v>
      </c>
      <c r="P479" s="97">
        <f t="shared" si="24"/>
        <v>4648567.5063462919</v>
      </c>
    </row>
    <row r="480" spans="3:16" s="196" customFormat="1">
      <c r="C480" s="26"/>
      <c r="D480" s="115" t="s">
        <v>678</v>
      </c>
      <c r="E480" s="34">
        <v>54970</v>
      </c>
      <c r="F480" s="92" t="str">
        <f t="shared" si="23"/>
        <v>2050-51</v>
      </c>
      <c r="G480" s="199"/>
      <c r="H480" s="117" t="str">
        <f t="shared" si="27"/>
        <v>Mamre Rd</v>
      </c>
      <c r="I480" s="26">
        <f t="shared" si="26"/>
        <v>7189.7586453201966</v>
      </c>
      <c r="J480" s="100">
        <f t="shared" si="28"/>
        <v>1</v>
      </c>
      <c r="K480" s="37"/>
      <c r="L480" s="26"/>
      <c r="M480" s="26"/>
      <c r="N480" s="26"/>
      <c r="O480" s="95">
        <v>949133.13781057694</v>
      </c>
      <c r="P480" s="97">
        <f t="shared" si="24"/>
        <v>949133.13781057694</v>
      </c>
    </row>
    <row r="481" spans="3:16" s="196" customFormat="1">
      <c r="C481" s="26"/>
      <c r="D481" s="115" t="s">
        <v>679</v>
      </c>
      <c r="E481" s="34">
        <v>54970</v>
      </c>
      <c r="F481" s="92" t="str">
        <f t="shared" si="23"/>
        <v>2050-51</v>
      </c>
      <c r="G481" s="199"/>
      <c r="H481" s="117" t="str">
        <f t="shared" si="27"/>
        <v>Mamre Rd</v>
      </c>
      <c r="I481" s="26">
        <f t="shared" si="26"/>
        <v>7189.7586453201966</v>
      </c>
      <c r="J481" s="100">
        <f t="shared" si="28"/>
        <v>1</v>
      </c>
      <c r="K481" s="37"/>
      <c r="L481" s="26"/>
      <c r="M481" s="26"/>
      <c r="N481" s="26"/>
      <c r="O481" s="95">
        <v>9090.5498174616005</v>
      </c>
      <c r="P481" s="97">
        <f t="shared" si="24"/>
        <v>9090.5498174616005</v>
      </c>
    </row>
    <row r="482" spans="3:16" s="196" customFormat="1">
      <c r="C482" s="26"/>
      <c r="D482" s="115" t="s">
        <v>680</v>
      </c>
      <c r="E482" s="34">
        <v>54970</v>
      </c>
      <c r="F482" s="92" t="str">
        <f t="shared" si="23"/>
        <v>2050-51</v>
      </c>
      <c r="G482" s="199"/>
      <c r="H482" s="117" t="str">
        <f t="shared" si="27"/>
        <v>Mamre Rd</v>
      </c>
      <c r="I482" s="26">
        <f t="shared" si="26"/>
        <v>7189.7586453201966</v>
      </c>
      <c r="J482" s="100">
        <f t="shared" si="28"/>
        <v>1</v>
      </c>
      <c r="K482" s="37"/>
      <c r="L482" s="26"/>
      <c r="M482" s="26"/>
      <c r="N482" s="26"/>
      <c r="O482" s="95">
        <v>8960.6480190536022</v>
      </c>
      <c r="P482" s="97">
        <f t="shared" si="24"/>
        <v>8960.6480190536022</v>
      </c>
    </row>
    <row r="483" spans="3:16">
      <c r="C483" s="26"/>
      <c r="D483" s="115" t="s">
        <v>681</v>
      </c>
      <c r="E483" s="34">
        <v>55335</v>
      </c>
      <c r="F483" s="92" t="str">
        <f t="shared" si="23"/>
        <v>2051-52</v>
      </c>
      <c r="G483" s="199"/>
      <c r="H483" s="117" t="s">
        <v>197</v>
      </c>
      <c r="I483" s="26">
        <f t="shared" si="26"/>
        <v>7189.7586453201966</v>
      </c>
      <c r="J483" s="100">
        <v>1</v>
      </c>
      <c r="K483" s="37"/>
      <c r="L483" s="26"/>
      <c r="M483" s="26"/>
      <c r="N483" s="26"/>
      <c r="O483" s="95">
        <v>9784959.7110832501</v>
      </c>
      <c r="P483" s="97">
        <f t="shared" si="24"/>
        <v>9784959.7110832501</v>
      </c>
    </row>
    <row r="484" spans="3:16">
      <c r="C484" s="26"/>
      <c r="D484" s="115" t="s">
        <v>682</v>
      </c>
      <c r="E484" s="34">
        <v>55335</v>
      </c>
      <c r="F484" s="92" t="str">
        <f t="shared" si="23"/>
        <v>2051-52</v>
      </c>
      <c r="G484" s="199"/>
      <c r="H484" s="117" t="s">
        <v>197</v>
      </c>
      <c r="I484" s="26">
        <f t="shared" si="26"/>
        <v>7189.7586453201966</v>
      </c>
      <c r="J484" s="100">
        <v>1</v>
      </c>
      <c r="K484" s="37"/>
      <c r="L484" s="26"/>
      <c r="M484" s="26"/>
      <c r="N484" s="26"/>
      <c r="O484" s="95">
        <v>1237036.856279785</v>
      </c>
      <c r="P484" s="97">
        <f t="shared" si="24"/>
        <v>1237036.856279785</v>
      </c>
    </row>
    <row r="485" spans="3:16">
      <c r="C485" s="26"/>
      <c r="D485" s="115" t="s">
        <v>683</v>
      </c>
      <c r="E485" s="34">
        <v>55335</v>
      </c>
      <c r="F485" s="92" t="str">
        <f t="shared" si="23"/>
        <v>2051-52</v>
      </c>
      <c r="G485" s="199"/>
      <c r="H485" s="117" t="s">
        <v>197</v>
      </c>
      <c r="I485" s="26">
        <f t="shared" si="26"/>
        <v>7189.7586453201966</v>
      </c>
      <c r="J485" s="100">
        <v>1</v>
      </c>
      <c r="K485" s="37"/>
      <c r="L485" s="26"/>
      <c r="M485" s="26"/>
      <c r="N485" s="26"/>
      <c r="O485" s="95">
        <v>8809.3987921792832</v>
      </c>
      <c r="P485" s="97">
        <f t="shared" si="24"/>
        <v>8809.3987921792832</v>
      </c>
    </row>
    <row r="486" spans="3:16">
      <c r="C486" s="26"/>
      <c r="D486" s="115" t="s">
        <v>684</v>
      </c>
      <c r="E486" s="34">
        <v>55335</v>
      </c>
      <c r="F486" s="92" t="str">
        <f t="shared" si="23"/>
        <v>2051-52</v>
      </c>
      <c r="G486" s="199"/>
      <c r="H486" s="117" t="s">
        <v>197</v>
      </c>
      <c r="I486" s="26">
        <f t="shared" si="26"/>
        <v>7189.7586453201966</v>
      </c>
      <c r="J486" s="101">
        <f>IFERROR(MIN('MP Calculations'!$E$29/I486,1),"-")</f>
        <v>1</v>
      </c>
      <c r="K486" s="37"/>
      <c r="L486" s="26"/>
      <c r="M486" s="26"/>
      <c r="N486" s="26"/>
      <c r="O486" s="95">
        <v>10639.243526710103</v>
      </c>
      <c r="P486" s="97">
        <f t="shared" si="24"/>
        <v>10639.243526710103</v>
      </c>
    </row>
    <row r="487" spans="3:16" s="196" customFormat="1">
      <c r="C487" s="26"/>
      <c r="D487" s="115" t="s">
        <v>685</v>
      </c>
      <c r="E487" s="34">
        <v>55701</v>
      </c>
      <c r="F487" s="92" t="str">
        <f t="shared" si="23"/>
        <v>2052-53</v>
      </c>
      <c r="G487" s="199"/>
      <c r="H487" s="117" t="s">
        <v>197</v>
      </c>
      <c r="I487" s="26">
        <f t="shared" si="26"/>
        <v>7189.7586453201966</v>
      </c>
      <c r="J487" s="101">
        <f>IFERROR(MIN('MP Calculations'!$E$29/I487,1),"-")</f>
        <v>1</v>
      </c>
      <c r="K487" s="37"/>
      <c r="L487" s="26"/>
      <c r="M487" s="26"/>
      <c r="N487" s="26"/>
      <c r="O487" s="95">
        <v>9510767.6251743101</v>
      </c>
      <c r="P487" s="97">
        <f t="shared" ref="P487:P492" si="29">IF(O487="-","-",IF(E487&lt;$E$15,0,O487*J487))</f>
        <v>9510767.6251743101</v>
      </c>
    </row>
    <row r="488" spans="3:16" s="196" customFormat="1">
      <c r="C488" s="26"/>
      <c r="D488" s="115" t="s">
        <v>686</v>
      </c>
      <c r="E488" s="34">
        <v>55701</v>
      </c>
      <c r="F488" s="92" t="str">
        <f t="shared" si="23"/>
        <v>2052-53</v>
      </c>
      <c r="G488" s="199"/>
      <c r="H488" s="117" t="s">
        <v>197</v>
      </c>
      <c r="I488" s="26">
        <f t="shared" si="26"/>
        <v>7189.7586453201966</v>
      </c>
      <c r="J488" s="101">
        <f>IFERROR(MIN('MP Calculations'!$E$29/I488,1),"-")</f>
        <v>1</v>
      </c>
      <c r="K488" s="37"/>
      <c r="L488" s="26"/>
      <c r="M488" s="26"/>
      <c r="N488" s="26"/>
      <c r="O488" s="95">
        <v>9288849.6420395132</v>
      </c>
      <c r="P488" s="97">
        <f t="shared" si="29"/>
        <v>9288849.6420395132</v>
      </c>
    </row>
    <row r="489" spans="3:16" s="196" customFormat="1">
      <c r="C489" s="26"/>
      <c r="D489" s="115" t="s">
        <v>687</v>
      </c>
      <c r="E489" s="34">
        <v>55701</v>
      </c>
      <c r="F489" s="92" t="str">
        <f t="shared" ref="F489:F492" si="30">IF(E489="","-",IF(E489&lt;$E$15,"ERROR - date outside of range",IF(MONTH(E489)&gt;=7,YEAR(E489)&amp;"-"&amp;RIGHT(YEAR(E489),2)+1,YEAR(E489)-1&amp;"-"&amp;RIGHT(YEAR(E489),2))))</f>
        <v>2052-53</v>
      </c>
      <c r="G489" s="199"/>
      <c r="H489" s="117" t="s">
        <v>197</v>
      </c>
      <c r="I489" s="26">
        <f t="shared" si="26"/>
        <v>7189.7586453201966</v>
      </c>
      <c r="J489" s="101">
        <f>IFERROR(MIN('MP Calculations'!$E$29/I489,1),"-")</f>
        <v>1</v>
      </c>
      <c r="K489" s="37"/>
      <c r="L489" s="26"/>
      <c r="M489" s="26"/>
      <c r="N489" s="26"/>
      <c r="O489" s="95">
        <v>2255.4219639239141</v>
      </c>
      <c r="P489" s="97">
        <f t="shared" si="29"/>
        <v>2255.4219639239141</v>
      </c>
    </row>
    <row r="490" spans="3:16" s="196" customFormat="1">
      <c r="C490" s="26"/>
      <c r="D490" s="115" t="s">
        <v>688</v>
      </c>
      <c r="E490" s="34">
        <v>56066</v>
      </c>
      <c r="F490" s="92" t="str">
        <f t="shared" si="30"/>
        <v>2053-54</v>
      </c>
      <c r="G490" s="199"/>
      <c r="H490" s="117" t="s">
        <v>197</v>
      </c>
      <c r="I490" s="26">
        <f t="shared" si="26"/>
        <v>7189.7586453201966</v>
      </c>
      <c r="J490" s="101">
        <f>IFERROR(MIN('MP Calculations'!$E$29/I490,1),"-")</f>
        <v>1</v>
      </c>
      <c r="K490" s="37"/>
      <c r="L490" s="26"/>
      <c r="M490" s="26"/>
      <c r="N490" s="26"/>
      <c r="O490" s="95">
        <v>9236575.5392653681</v>
      </c>
      <c r="P490" s="97">
        <f t="shared" si="29"/>
        <v>9236575.5392653681</v>
      </c>
    </row>
    <row r="491" spans="3:16" s="196" customFormat="1">
      <c r="C491" s="26"/>
      <c r="D491" s="115" t="s">
        <v>689</v>
      </c>
      <c r="E491" s="34">
        <v>56066</v>
      </c>
      <c r="F491" s="92" t="str">
        <f t="shared" si="30"/>
        <v>2053-54</v>
      </c>
      <c r="G491" s="199"/>
      <c r="H491" s="117" t="s">
        <v>197</v>
      </c>
      <c r="I491" s="26">
        <f t="shared" si="26"/>
        <v>7189.7586453201966</v>
      </c>
      <c r="J491" s="101">
        <f>IFERROR(MIN('MP Calculations'!$E$29/I491,1),"-")</f>
        <v>1</v>
      </c>
      <c r="K491" s="37"/>
      <c r="L491" s="26"/>
      <c r="M491" s="26"/>
      <c r="N491" s="26"/>
      <c r="O491" s="95">
        <v>11028927.061358901</v>
      </c>
      <c r="P491" s="97">
        <f t="shared" si="29"/>
        <v>11028927.061358901</v>
      </c>
    </row>
    <row r="492" spans="3:16" s="196" customFormat="1">
      <c r="C492" s="26"/>
      <c r="D492" s="115" t="s">
        <v>690</v>
      </c>
      <c r="E492" s="34">
        <v>56066</v>
      </c>
      <c r="F492" s="92" t="str">
        <f t="shared" si="30"/>
        <v>2053-54</v>
      </c>
      <c r="G492" s="199"/>
      <c r="H492" s="117" t="s">
        <v>197</v>
      </c>
      <c r="I492" s="26">
        <f t="shared" si="26"/>
        <v>7189.7586453201966</v>
      </c>
      <c r="J492" s="101">
        <f>IFERROR(MIN('MP Calculations'!$E$29/I492,1),"-")</f>
        <v>1</v>
      </c>
      <c r="K492" s="37"/>
      <c r="L492" s="26"/>
      <c r="M492" s="26"/>
      <c r="N492" s="26"/>
      <c r="O492" s="95">
        <v>1080.4051085643648</v>
      </c>
      <c r="P492" s="97">
        <f t="shared" si="29"/>
        <v>1080.4051085643648</v>
      </c>
    </row>
    <row r="493" spans="3:16" s="196" customFormat="1">
      <c r="C493" s="26"/>
      <c r="D493" s="115"/>
      <c r="E493" s="34"/>
      <c r="F493" s="92"/>
      <c r="G493" s="199"/>
      <c r="H493" s="118"/>
      <c r="I493" s="26"/>
      <c r="J493" s="101"/>
      <c r="K493" s="37"/>
      <c r="L493" s="26"/>
      <c r="M493" s="26"/>
      <c r="N493" s="26"/>
      <c r="O493" s="95"/>
      <c r="P493" s="97"/>
    </row>
    <row r="494" spans="3:16" s="196" customFormat="1">
      <c r="C494" s="26"/>
      <c r="D494" s="115"/>
      <c r="E494" s="34"/>
      <c r="F494" s="92"/>
      <c r="G494" s="199"/>
      <c r="H494" s="118"/>
      <c r="I494" s="26"/>
      <c r="J494" s="101"/>
      <c r="K494" s="37"/>
      <c r="L494" s="26"/>
      <c r="M494" s="26"/>
      <c r="N494" s="26"/>
      <c r="O494" s="95"/>
      <c r="P494" s="97"/>
    </row>
    <row r="495" spans="3:16" ht="48">
      <c r="C495" s="30"/>
      <c r="D495" s="132"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495" s="133"/>
      <c r="F495" s="93" t="str">
        <f t="shared" si="3"/>
        <v>-</v>
      </c>
      <c r="G495" s="199"/>
      <c r="H495" s="116"/>
      <c r="I495" s="31"/>
      <c r="J495" s="120" t="str">
        <f>IFERROR(MIN('MP Calculations'!$E$29/I495,1),"-")</f>
        <v>-</v>
      </c>
      <c r="K495" s="199"/>
      <c r="L495" s="31"/>
      <c r="M495" s="31"/>
      <c r="N495" s="31"/>
      <c r="O495" s="121"/>
      <c r="P495" s="98">
        <f t="shared" si="5"/>
        <v>0</v>
      </c>
    </row>
  </sheetData>
  <sheetProtection algorithmName="SHA-512" hashValue="Jms8VDrTVsKYGGZ1ALb33tf1E3+ANSNSKZDWlwQ02uTfMUCUssfCo5a3Xt33t5aueA2IAqRK4+6l6UiNf5BFxQ==" saltValue="8YfpMBOBKP7/WNZ0u+Lnrw==" spinCount="100000" sheet="1" objects="1" scenarios="1"/>
  <conditionalFormatting sqref="F22:F495">
    <cfRule type="containsText" dxfId="1" priority="2" operator="containsText" text="ERROR">
      <formula>NOT(ISERROR(SEARCH("ERROR",F22)))</formula>
    </cfRule>
  </conditionalFormatting>
  <conditionalFormatting sqref="J22:J495">
    <cfRule type="cellIs" dxfId="0" priority="1" operator="equal">
      <formula>1</formula>
    </cfRule>
  </conditionalFormatting>
  <hyperlinks>
    <hyperlink ref="E7" location="'Asset exclusions'!A1" display="'Asset exclusions'!A1" xr:uid="{00000000-0004-0000-0700-000000000000}"/>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32"/>
  <sheetViews>
    <sheetView showGridLines="0" zoomScaleNormal="100" workbookViewId="0">
      <selection activeCell="P29" sqref="P29"/>
    </sheetView>
  </sheetViews>
  <sheetFormatPr defaultRowHeight="12"/>
  <cols>
    <col min="1" max="2" width="2.7109375" customWidth="1"/>
    <col min="3" max="3" width="5.7109375" customWidth="1"/>
    <col min="7" max="7" width="9.140625" customWidth="1"/>
  </cols>
  <sheetData>
    <row r="3" spans="3:7" ht="20.25">
      <c r="C3" s="126" t="s">
        <v>691</v>
      </c>
      <c r="D3" s="199"/>
      <c r="E3" s="199"/>
      <c r="F3" s="199"/>
      <c r="G3" s="199"/>
    </row>
    <row r="6" spans="3:7">
      <c r="C6" s="199" t="s">
        <v>692</v>
      </c>
      <c r="D6" s="199"/>
      <c r="E6" s="199"/>
      <c r="F6" s="199"/>
      <c r="G6" s="128" t="s">
        <v>28</v>
      </c>
    </row>
    <row r="8" spans="3:7" ht="13.5">
      <c r="C8" s="199" t="s">
        <v>693</v>
      </c>
      <c r="D8" s="199"/>
      <c r="E8" s="199"/>
      <c r="F8" s="199"/>
      <c r="G8" s="199"/>
    </row>
    <row r="10" spans="3:7">
      <c r="C10" s="199" t="s">
        <v>694</v>
      </c>
      <c r="D10" s="199"/>
      <c r="E10" s="199"/>
      <c r="F10" s="199"/>
      <c r="G10" s="199"/>
    </row>
    <row r="12" spans="3:7" ht="13.5">
      <c r="C12" s="28" t="s">
        <v>695</v>
      </c>
      <c r="D12" s="182" t="s">
        <v>696</v>
      </c>
      <c r="E12" s="199"/>
      <c r="F12" s="199"/>
      <c r="G12" s="199"/>
    </row>
    <row r="13" spans="3:7" ht="13.5">
      <c r="C13" s="28" t="s">
        <v>697</v>
      </c>
      <c r="D13" s="182" t="s">
        <v>698</v>
      </c>
      <c r="E13" s="199"/>
      <c r="F13" s="1"/>
      <c r="G13" s="199"/>
    </row>
    <row r="15" spans="3:7">
      <c r="C15" s="199"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c r="D15" s="199"/>
      <c r="E15" s="199"/>
      <c r="F15" s="199"/>
      <c r="G15" s="199"/>
    </row>
    <row r="17" spans="1:31" ht="13.5">
      <c r="A17" s="199"/>
      <c r="B17" s="199"/>
      <c r="C17" s="28" t="s">
        <v>699</v>
      </c>
      <c r="D17" s="162"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$Q$68:$Q$97</v>
      </c>
      <c r="E17" s="163"/>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row>
    <row r="18" spans="1:31" ht="13.5">
      <c r="A18" s="199"/>
      <c r="B18" s="199"/>
      <c r="C18" s="28" t="s">
        <v>700</v>
      </c>
      <c r="D18" s="162"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$T$68:$T$97</v>
      </c>
      <c r="E18" s="163"/>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row>
    <row r="19" spans="1:31">
      <c r="A19" s="199"/>
      <c r="B19" s="199"/>
      <c r="C19" s="28"/>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row>
    <row r="20" spans="1:31" ht="13.5">
      <c r="A20" s="199"/>
      <c r="B20" s="199"/>
      <c r="C20" s="199" t="s">
        <v>701</v>
      </c>
      <c r="D20" s="199"/>
      <c r="E20" s="199"/>
      <c r="F20" s="199"/>
      <c r="G20" s="199" t="s">
        <v>702</v>
      </c>
      <c r="H20" s="164" t="str">
        <f>'General inputs'!I16</f>
        <v>2024-25</v>
      </c>
      <c r="I20" s="199"/>
      <c r="J20" s="199" t="s">
        <v>703</v>
      </c>
      <c r="K20" s="165" t="str">
        <f>LEFT(H20,4)+'General inputs'!$H$38-1&amp;"-"&amp;RIGHT(H20,2)+'General inputs'!$H$38-1</f>
        <v>2053-54</v>
      </c>
      <c r="L20" s="199"/>
      <c r="M20" s="199"/>
      <c r="N20" s="199"/>
      <c r="O20" s="199"/>
      <c r="P20" s="199"/>
      <c r="Q20" s="199"/>
      <c r="R20" s="199"/>
      <c r="S20" s="199"/>
      <c r="T20" s="199"/>
      <c r="U20" s="199"/>
      <c r="V20" s="199"/>
      <c r="W20" s="199"/>
      <c r="X20" s="199"/>
      <c r="Y20" s="199"/>
      <c r="Z20" s="199"/>
      <c r="AA20" s="199"/>
      <c r="AB20" s="199"/>
      <c r="AC20" s="199"/>
      <c r="AD20" s="199"/>
      <c r="AE20" s="199"/>
    </row>
    <row r="21" spans="1:31">
      <c r="A21" s="199"/>
      <c r="B21" s="199"/>
      <c r="C21" s="28"/>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row>
    <row r="22" spans="1:31">
      <c r="A22" s="199"/>
      <c r="B22" s="199"/>
      <c r="C22" s="73" t="s">
        <v>704</v>
      </c>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row>
    <row r="23" spans="1:31">
      <c r="A23" s="199"/>
      <c r="B23" s="199"/>
      <c r="C23" s="73"/>
      <c r="D23" s="73" t="s">
        <v>705</v>
      </c>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row>
    <row r="24" spans="1:31">
      <c r="A24" s="199"/>
      <c r="B24" s="199"/>
      <c r="C24" s="73"/>
      <c r="D24" s="73"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row>
    <row r="25" spans="1:31">
      <c r="A25" s="199"/>
      <c r="B25" s="199"/>
      <c r="C25" s="73"/>
      <c r="D25" s="73" t="s">
        <v>706</v>
      </c>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row>
    <row r="26" spans="1:31">
      <c r="A26" s="199"/>
      <c r="B26" s="199"/>
      <c r="C26" s="73"/>
      <c r="D26" s="192" t="s">
        <v>707</v>
      </c>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row>
    <row r="27" spans="1:31">
      <c r="A27" s="199"/>
      <c r="B27" s="199"/>
      <c r="C27" s="73"/>
      <c r="D27" s="192" t="s">
        <v>708</v>
      </c>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row>
    <row r="28" spans="1:31">
      <c r="A28" s="199"/>
      <c r="B28" s="199"/>
      <c r="C28" s="73"/>
      <c r="D28" s="73" t="s">
        <v>709</v>
      </c>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row>
    <row r="29" spans="1:31">
      <c r="A29" s="199"/>
      <c r="B29" s="199"/>
      <c r="C29" s="73"/>
      <c r="D29" s="192" t="s">
        <v>710</v>
      </c>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row>
    <row r="30" spans="1:31">
      <c r="A30" s="199"/>
      <c r="B30" s="199"/>
      <c r="C30" s="73"/>
      <c r="D30" s="192" t="s">
        <v>711</v>
      </c>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row>
    <row r="32" spans="1:31">
      <c r="A32" s="70"/>
      <c r="B32" s="70"/>
      <c r="C32" s="70" t="s">
        <v>712</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row>
  </sheetData>
  <sheetProtection algorithmName="SHA-512" hashValue="Win5Rf8JGTTqVnB7p5KPtUBuXSlxl0JNtFLWyqYCuGr9qbm3xBdoEHP1r5c+5zMomRIzF59pzX0SkKuBUBkkrw==" saltValue="6QNKfhrBdrh9kFTyXTXPuA==" spinCount="100000" sheet="1" objects="1" scenarios="1"/>
  <hyperlinks>
    <hyperlink ref="G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heetViews>
  <sheetFormatPr defaultRowHeight="12"/>
  <cols>
    <col min="1" max="2" width="2.7109375" customWidth="1"/>
    <col min="13" max="13" width="9.140625" customWidth="1"/>
    <col min="16" max="16" width="9.140625" customWidth="1"/>
  </cols>
  <sheetData>
    <row r="3" spans="1:30" ht="20.25">
      <c r="A3" s="199"/>
      <c r="B3" s="199"/>
      <c r="C3" s="126" t="s">
        <v>713</v>
      </c>
      <c r="D3" s="199"/>
      <c r="E3" s="199"/>
      <c r="F3" s="199"/>
      <c r="G3" s="199"/>
      <c r="H3" s="199"/>
      <c r="I3" s="199"/>
      <c r="J3" s="199"/>
      <c r="K3" s="199"/>
      <c r="L3" s="199"/>
      <c r="M3" s="128"/>
      <c r="N3" s="199"/>
      <c r="O3" s="199"/>
      <c r="P3" s="199"/>
      <c r="Q3" s="199"/>
      <c r="R3" s="199"/>
      <c r="S3" s="199"/>
      <c r="T3" s="199"/>
      <c r="U3" s="199"/>
      <c r="V3" s="199"/>
      <c r="W3" s="199"/>
      <c r="X3" s="199"/>
      <c r="Y3" s="199"/>
      <c r="Z3" s="199"/>
      <c r="AA3" s="199"/>
      <c r="AB3" s="199"/>
      <c r="AC3" s="199"/>
      <c r="AD3" s="199"/>
    </row>
    <row r="6" spans="1:30">
      <c r="A6" s="199"/>
      <c r="B6" s="199"/>
      <c r="C6" s="199" t="s">
        <v>692</v>
      </c>
      <c r="D6" s="199"/>
      <c r="E6" s="199"/>
      <c r="F6" s="199"/>
      <c r="G6" s="128" t="s">
        <v>28</v>
      </c>
      <c r="H6" s="199"/>
      <c r="I6" s="199"/>
      <c r="J6" s="199"/>
      <c r="K6" s="199"/>
      <c r="L6" s="199"/>
      <c r="M6" s="199"/>
      <c r="N6" s="199"/>
      <c r="O6" s="199"/>
      <c r="P6" s="199"/>
      <c r="Q6" s="199"/>
      <c r="R6" s="199"/>
      <c r="S6" s="199"/>
      <c r="T6" s="199"/>
      <c r="U6" s="199"/>
      <c r="V6" s="199"/>
      <c r="W6" s="199"/>
      <c r="X6" s="199"/>
      <c r="Y6" s="199"/>
      <c r="Z6" s="199"/>
      <c r="AA6" s="199"/>
      <c r="AB6" s="199"/>
      <c r="AC6" s="199"/>
      <c r="AD6" s="199"/>
    </row>
    <row r="8" spans="1:30">
      <c r="A8" s="199"/>
      <c r="B8" s="199"/>
      <c r="C8" s="199" t="s">
        <v>714</v>
      </c>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row>
    <row r="10" spans="1:30">
      <c r="A10" s="199"/>
      <c r="B10" s="199"/>
      <c r="C10" s="199" t="s">
        <v>715</v>
      </c>
      <c r="D10" s="199"/>
      <c r="E10" s="199"/>
      <c r="F10" s="199"/>
      <c r="G10" s="199"/>
      <c r="H10" s="199"/>
      <c r="I10" s="199"/>
      <c r="J10" s="165" t="str">
        <f>ADDRESS(ROW('MP Calculations'!$F$22),COLUMN('MP Calculations'!$F$22))</f>
        <v>$F$22</v>
      </c>
      <c r="K10" s="199" t="str">
        <f ca="1">"on the "&amp;MID(CELL("filename",'MP Calculations'!$A$1),FIND("]",CELL("filename",'MP Calculations'!$A$1))+1,255)&amp;" worksheet."</f>
        <v>on the MP Calculations worksheet.</v>
      </c>
      <c r="L10" s="199"/>
      <c r="M10" s="199"/>
      <c r="N10" s="199"/>
      <c r="O10" s="199"/>
      <c r="P10" s="199"/>
      <c r="Q10" s="199"/>
      <c r="R10" s="199"/>
      <c r="S10" s="199"/>
      <c r="T10" s="199"/>
      <c r="U10" s="199"/>
      <c r="V10" s="199"/>
      <c r="W10" s="199"/>
      <c r="X10" s="199"/>
      <c r="Y10" s="199"/>
      <c r="Z10" s="199"/>
      <c r="AA10" s="199"/>
      <c r="AB10" s="199"/>
      <c r="AC10" s="199"/>
      <c r="AD10" s="199"/>
    </row>
    <row r="12" spans="1:30">
      <c r="A12" s="199"/>
      <c r="B12" s="199"/>
      <c r="C12" s="74" t="s">
        <v>716</v>
      </c>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row>
    <row r="13" spans="1:30">
      <c r="A13" s="199"/>
      <c r="B13" s="199"/>
      <c r="C13" s="199"/>
      <c r="D13" s="183" t="s">
        <v>717</v>
      </c>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row>
    <row r="14" spans="1:30">
      <c r="A14" s="199"/>
      <c r="B14" s="199"/>
      <c r="C14" s="199"/>
      <c r="D14" s="73"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row>
    <row r="16" spans="1:30">
      <c r="A16" s="70"/>
      <c r="B16" s="70"/>
      <c r="C16" s="70" t="s">
        <v>712</v>
      </c>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8" spans="4:4">
      <c r="D18" s="73"/>
    </row>
  </sheetData>
  <sheetProtection algorithmName="SHA-512" hashValue="GCJpy4+5wImw9aE+aXvBUHSQBSjWPFTW8I/kRvAn4QJrhR2gJ0Da44eL+Yo/y0aBhWQzvdN9B6+fGCb53If47w==" saltValue="wKc91iWSSsqgklo0v5io8g==" spinCount="100000" sheet="1" objects="1" scenarios="1"/>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cols>
    <col min="1" max="2" width="2.7109375" customWidth="1"/>
    <col min="13" max="13" width="9.140625" customWidth="1"/>
    <col min="16" max="16" width="9.140625" customWidth="1"/>
  </cols>
  <sheetData>
    <row r="3" spans="1:30" ht="20.25">
      <c r="A3" s="199"/>
      <c r="B3" s="199"/>
      <c r="C3" s="126" t="s">
        <v>718</v>
      </c>
      <c r="D3" s="199"/>
      <c r="E3" s="199"/>
      <c r="F3" s="199"/>
      <c r="G3" s="199"/>
      <c r="H3" s="199"/>
      <c r="I3" s="199"/>
      <c r="J3" s="199"/>
      <c r="K3" s="199"/>
      <c r="L3" s="199"/>
      <c r="M3" s="128"/>
      <c r="N3" s="199"/>
      <c r="O3" s="199"/>
      <c r="P3" s="199"/>
      <c r="Q3" s="199"/>
      <c r="R3" s="199"/>
      <c r="S3" s="199"/>
      <c r="T3" s="199"/>
      <c r="U3" s="199"/>
      <c r="V3" s="199"/>
      <c r="W3" s="199"/>
      <c r="X3" s="199"/>
      <c r="Y3" s="199"/>
      <c r="Z3" s="199"/>
      <c r="AA3" s="199"/>
      <c r="AB3" s="199"/>
      <c r="AC3" s="199"/>
      <c r="AD3" s="199"/>
    </row>
    <row r="6" spans="1:30">
      <c r="A6" s="199"/>
      <c r="B6" s="199"/>
      <c r="C6" s="199" t="s">
        <v>692</v>
      </c>
      <c r="D6" s="199"/>
      <c r="E6" s="199"/>
      <c r="F6" s="199"/>
      <c r="G6" s="190" t="s">
        <v>29</v>
      </c>
      <c r="H6" s="199"/>
      <c r="I6" s="199"/>
      <c r="J6" s="199"/>
      <c r="K6" s="199"/>
      <c r="L6" s="199"/>
      <c r="M6" s="199"/>
      <c r="N6" s="199"/>
      <c r="O6" s="199"/>
      <c r="P6" s="199"/>
      <c r="Q6" s="199"/>
      <c r="R6" s="199"/>
      <c r="S6" s="199"/>
      <c r="T6" s="199"/>
      <c r="U6" s="199"/>
      <c r="V6" s="199"/>
      <c r="W6" s="199"/>
      <c r="X6" s="199"/>
      <c r="Y6" s="199"/>
      <c r="Z6" s="199"/>
      <c r="AA6" s="199"/>
      <c r="AB6" s="199"/>
      <c r="AC6" s="199"/>
      <c r="AD6" s="199"/>
    </row>
    <row r="8" spans="1:30">
      <c r="A8" s="199"/>
      <c r="B8" s="199"/>
      <c r="C8" s="199" t="s">
        <v>719</v>
      </c>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row>
    <row r="10" spans="1:30">
      <c r="A10" s="199"/>
      <c r="B10" s="199"/>
      <c r="C10" s="199" t="s">
        <v>715</v>
      </c>
      <c r="D10" s="199"/>
      <c r="E10" s="199"/>
      <c r="F10" s="199"/>
      <c r="G10" s="199"/>
      <c r="H10" s="199"/>
      <c r="I10" s="199"/>
      <c r="J10" s="165" t="str">
        <f>ADDRESS(ROW('MP Calculations'!$G$22),COLUMN('MP Calculations'!$G$22))</f>
        <v>$G$22</v>
      </c>
      <c r="K10" s="199" t="str">
        <f ca="1">"on the "&amp;MID(CELL("filename",'MP Calculations'!$A$1),FIND("]",CELL("filename",'MP Calculations'!$A$1))+1,255)&amp;" worksheet."</f>
        <v>on the MP Calculations worksheet.</v>
      </c>
      <c r="L10" s="199"/>
      <c r="M10" s="199"/>
      <c r="N10" s="199"/>
      <c r="O10" s="199"/>
      <c r="P10" s="199"/>
      <c r="Q10" s="199"/>
      <c r="R10" s="199"/>
      <c r="S10" s="199"/>
      <c r="T10" s="199"/>
      <c r="U10" s="199"/>
      <c r="V10" s="199"/>
      <c r="W10" s="199"/>
      <c r="X10" s="199"/>
      <c r="Y10" s="199"/>
      <c r="Z10" s="199"/>
      <c r="AA10" s="199"/>
      <c r="AB10" s="199"/>
      <c r="AC10" s="199"/>
      <c r="AD10" s="199"/>
    </row>
    <row r="12" spans="1:30">
      <c r="A12" s="199"/>
      <c r="B12" s="199"/>
      <c r="C12" s="74" t="s">
        <v>716</v>
      </c>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row>
    <row r="13" spans="1:30">
      <c r="A13" s="199"/>
      <c r="B13" s="199"/>
      <c r="C13" s="199"/>
      <c r="D13" s="73" t="s">
        <v>720</v>
      </c>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row>
    <row r="14" spans="1:30">
      <c r="A14" s="199"/>
      <c r="B14" s="199"/>
      <c r="C14" s="199"/>
      <c r="D14" s="73"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row>
    <row r="16" spans="1:30">
      <c r="A16" s="70"/>
      <c r="B16" s="70"/>
      <c r="C16" s="70" t="s">
        <v>712</v>
      </c>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8" spans="4:4">
      <c r="D18" s="73"/>
    </row>
  </sheetData>
  <sheetProtection algorithmName="SHA-512" hashValue="2Sd/Vff6IaslgO4Q+AILlOXkTTlAdc2LrPTfFYT7jJBUssCLTrGKpk7KOLkqOMjiOnJnJdwQPAv3fqdfXFbWeg==" saltValue="jkH1Te35HahFOyQ4kvqOHQ==" spinCount="100000" sheet="1" objects="1" scenarios="1"/>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tabSelected="1" workbookViewId="0">
      <selection activeCell="U30" sqref="U30"/>
    </sheetView>
  </sheetViews>
  <sheetFormatPr defaultRowHeight="12"/>
  <cols>
    <col min="1" max="2" width="2.7109375" customWidth="1"/>
    <col min="3" max="3" width="5.7109375" customWidth="1"/>
  </cols>
  <sheetData>
    <row r="3" spans="3:7" ht="20.25">
      <c r="C3" s="58" t="s">
        <v>721</v>
      </c>
      <c r="D3" s="199"/>
      <c r="E3" s="199"/>
      <c r="F3" s="199"/>
      <c r="G3" s="199"/>
    </row>
    <row r="6" spans="3:7">
      <c r="C6" s="199" t="s">
        <v>692</v>
      </c>
      <c r="D6" s="199"/>
      <c r="E6" s="199"/>
      <c r="F6" s="199"/>
      <c r="G6" s="128" t="s">
        <v>28</v>
      </c>
    </row>
    <row r="8" spans="3:7">
      <c r="C8" s="6" t="s">
        <v>722</v>
      </c>
      <c r="D8" s="199"/>
      <c r="E8" s="199"/>
      <c r="F8" s="199"/>
      <c r="G8" s="128"/>
    </row>
    <row r="10" spans="3:7">
      <c r="C10" s="199" t="s">
        <v>723</v>
      </c>
      <c r="D10" s="199" t="s">
        <v>724</v>
      </c>
      <c r="E10" s="199"/>
      <c r="F10" s="199"/>
      <c r="G10" s="199"/>
    </row>
    <row r="12" spans="3:7">
      <c r="C12" s="199" t="s">
        <v>725</v>
      </c>
      <c r="D12" s="199" t="s">
        <v>726</v>
      </c>
      <c r="E12" s="199"/>
      <c r="F12" s="199"/>
      <c r="G12" s="199"/>
    </row>
    <row r="14" spans="3:7">
      <c r="C14" s="199" t="s">
        <v>727</v>
      </c>
      <c r="D14" s="199" t="s">
        <v>728</v>
      </c>
      <c r="E14" s="199"/>
      <c r="F14" s="199"/>
      <c r="G14" s="199"/>
    </row>
    <row r="16" spans="3:7">
      <c r="C16" s="199" t="s">
        <v>729</v>
      </c>
      <c r="D16" s="199" t="s">
        <v>730</v>
      </c>
      <c r="E16" s="199"/>
      <c r="F16" s="199"/>
      <c r="G16" s="199"/>
    </row>
    <row r="18" spans="3:4">
      <c r="C18" s="199" t="s">
        <v>731</v>
      </c>
      <c r="D18" s="199" t="s">
        <v>732</v>
      </c>
    </row>
    <row r="20" spans="3:4">
      <c r="C20" s="199" t="s">
        <v>733</v>
      </c>
      <c r="D20" s="199" t="s">
        <v>734</v>
      </c>
    </row>
    <row r="22" spans="3:4">
      <c r="C22" s="199"/>
      <c r="D22" s="199" t="s">
        <v>82</v>
      </c>
    </row>
    <row r="24" spans="3:4">
      <c r="C24" s="6" t="s">
        <v>735</v>
      </c>
      <c r="D24" s="199"/>
    </row>
    <row r="26" spans="3:4">
      <c r="C26" s="199" t="s">
        <v>736</v>
      </c>
      <c r="D26" s="199"/>
    </row>
    <row r="28" spans="3:4">
      <c r="C28" s="199" t="s">
        <v>737</v>
      </c>
      <c r="D28" s="199" t="s">
        <v>738</v>
      </c>
    </row>
    <row r="30" spans="3:4">
      <c r="C30" s="199" t="s">
        <v>739</v>
      </c>
      <c r="D30" s="199" t="s">
        <v>740</v>
      </c>
    </row>
    <row r="32" spans="3:4">
      <c r="C32" s="199" t="s">
        <v>741</v>
      </c>
      <c r="D32" s="199" t="s">
        <v>742</v>
      </c>
    </row>
  </sheetData>
  <sheetProtection algorithmName="SHA-512" hashValue="cmDiMTvoWjVKoriu6aERt4qNI6m520wvIjGFWMyqdfiyba9LyqzK0nIO0FD+Kp4FO0GSdy8cAq/HkGMERGLPTQ==" saltValue="e/9aYhDaQHrq/L3JMuSfsw==" spinCount="100000" sheet="1" objects="1" scenarios="1"/>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324545-89A4-45ED-9194-47AEDC4BF9A7}"/>
</file>

<file path=customXml/itemProps2.xml><?xml version="1.0" encoding="utf-8"?>
<ds:datastoreItem xmlns:ds="http://schemas.openxmlformats.org/officeDocument/2006/customXml" ds:itemID="{15FC8A10-DF64-4D31-9D29-5023948F9F33}"/>
</file>

<file path=customXml/itemProps3.xml><?xml version="1.0" encoding="utf-8"?>
<ds:datastoreItem xmlns:ds="http://schemas.openxmlformats.org/officeDocument/2006/customXml" ds:itemID="{4E92686B-109C-4C2E-9EB9-58A7DA8EFFF0}"/>
</file>

<file path=docProps/app.xml><?xml version="1.0" encoding="utf-8"?>
<Properties xmlns="http://schemas.openxmlformats.org/officeDocument/2006/extended-properties" xmlns:vt="http://schemas.openxmlformats.org/officeDocument/2006/docPropsVTypes">
  <Application>Microsoft Excel Online</Application>
  <Manager/>
  <Company>IPART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Patrick Howard</cp:lastModifiedBy>
  <cp:revision/>
  <dcterms:created xsi:type="dcterms:W3CDTF">2014-05-19T07:21:06Z</dcterms:created>
  <dcterms:modified xsi:type="dcterms:W3CDTF">2025-02-26T02:49:34Z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