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comments4.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https://sydneywatercorporation.sharepoint.com/sites/DeveloperChargeRe-Implementation/Shared Documents/Rouse Hill Stormwater DSP/DSP drafting and approvals/FINAL/"/>
    </mc:Choice>
  </mc:AlternateContent>
  <xr:revisionPtr revIDLastSave="3256" documentId="8_{ADED307D-924E-4669-B821-36744FD98612}" xr6:coauthVersionLast="47" xr6:coauthVersionMax="47" xr10:uidLastSave="{22937041-AAC9-463A-8B1D-55083203D5F6}"/>
  <workbookProtection workbookAlgorithmName="SHA-512" workbookHashValue="RuLh6U4NyChAQAl9rVr/EfobVvQka/eafXEoJ5UfgyfHu8jO/x3M6gLHPy/MpWUZFWMXDWtWynNb5bqd2vdgtA==" workbookSaltValue="90FIOY9Z6/bC0PMLcjRUUQ==" workbookSpinCount="100000" lockStructure="1"/>
  <bookViews>
    <workbookView xWindow="22932" yWindow="-108" windowWidth="23256" windowHeight="12456" tabRatio="722" activeTab="5" xr2:uid="{00000000-000D-0000-FFFF-FFFF00000000}"/>
  </bookViews>
  <sheets>
    <sheet name="Cover" sheetId="12" r:id="rId1"/>
    <sheet name="Journal of changes" sheetId="27" r:id="rId2"/>
    <sheet name="Summary of result" sheetId="25" r:id="rId3"/>
    <sheet name="MP Calculations" sheetId="20" r:id="rId4"/>
    <sheet name="General inputs" sheetId="15" r:id="rId5"/>
    <sheet name="Pre-1996 assets" sheetId="14" r:id="rId6"/>
    <sheet name="Post-1996 commissioned assets" sheetId="16" r:id="rId7"/>
    <sheet name="ET inputs" sheetId="19" r:id="rId8"/>
    <sheet name="Uncommissioned assets" sheetId="17" r:id="rId9"/>
    <sheet name="Reduction amount" sheetId="22" r:id="rId10"/>
    <sheet name="Headwork assets" sheetId="23" r:id="rId11"/>
    <sheet name="Scheme cost allocation" sheetId="26" r:id="rId12"/>
    <sheet name="Asset exclusions" sheetId="24" r:id="rId13"/>
  </sheets>
  <definedNames>
    <definedName name="_xlnm._FilterDatabase" localSheetId="6" hidden="1">'Post-1996 commissioned assets'!$C$21:$W$538</definedName>
    <definedName name="_xlnm._FilterDatabase" localSheetId="5" hidden="1">'Pre-1996 assets'!$C$21:$F$240</definedName>
    <definedName name="_xlnm.Print_Area" localSheetId="0">Cover!$B$1:$E$100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3" i="16" l="1"/>
  <c r="J22" i="16"/>
  <c r="J24" i="14"/>
  <c r="G39" i="20"/>
  <c r="O22" i="16"/>
  <c r="D21" i="26" l="1"/>
  <c r="N21" i="14" l="1"/>
  <c r="N21" i="16" l="1"/>
  <c r="O540" i="16" l="1"/>
  <c r="O535" i="16" l="1"/>
  <c r="O536" i="16"/>
  <c r="O537" i="16"/>
  <c r="O538" i="16" l="1"/>
  <c r="S539" i="16" l="1"/>
  <c r="D540" i="16" l="1"/>
  <c r="C39" i="22" l="1"/>
  <c r="C40" i="22" s="1"/>
  <c r="C41" i="22" s="1"/>
  <c r="C42" i="22" s="1"/>
  <c r="C43" i="22" s="1"/>
  <c r="C44" i="22" s="1"/>
  <c r="C45" i="22" s="1"/>
  <c r="C46" i="22" s="1"/>
  <c r="C47" i="22" s="1"/>
  <c r="C48" i="22" s="1"/>
  <c r="C49" i="22" s="1"/>
  <c r="C50" i="22" s="1"/>
  <c r="C51" i="22" s="1"/>
  <c r="C52" i="22" s="1"/>
  <c r="C53" i="22" s="1"/>
  <c r="C54" i="22" s="1"/>
  <c r="C55" i="22" s="1"/>
  <c r="C56" i="22" s="1"/>
  <c r="C57" i="22" s="1"/>
  <c r="C58" i="22" s="1"/>
  <c r="C59" i="22" s="1"/>
  <c r="C60" i="22" s="1"/>
  <c r="C61" i="22" s="1"/>
  <c r="C62" i="22" s="1"/>
  <c r="C63" i="22" s="1"/>
  <c r="C64" i="22" s="1"/>
  <c r="C65" i="22" s="1"/>
  <c r="C66" i="22" s="1"/>
  <c r="C67" i="22" s="1"/>
  <c r="J37" i="17" l="1"/>
  <c r="O21" i="16" l="1"/>
  <c r="D6" i="25" l="1"/>
  <c r="K10" i="26" l="1"/>
  <c r="K10" i="23"/>
  <c r="C15" i="22"/>
  <c r="B15" i="20" l="1"/>
  <c r="B14" i="20"/>
  <c r="C18" i="12"/>
  <c r="D60" i="12"/>
  <c r="C66" i="12"/>
  <c r="J10" i="26"/>
  <c r="D14" i="26"/>
  <c r="D55" i="17" l="1"/>
  <c r="C9" i="20" l="1"/>
  <c r="C20" i="12"/>
  <c r="C54" i="12"/>
  <c r="C42" i="12"/>
  <c r="C7" i="17" l="1"/>
  <c r="C6" i="17"/>
  <c r="C7" i="16"/>
  <c r="C6" i="16"/>
  <c r="C6" i="14"/>
  <c r="L12" i="15" l="1"/>
  <c r="C7" i="14" l="1"/>
  <c r="O242" i="14" l="1"/>
  <c r="J10" i="23"/>
  <c r="D39" i="20" l="1"/>
  <c r="H39" i="20" s="1"/>
  <c r="L5" i="15" l="1"/>
  <c r="I18" i="15" l="1"/>
  <c r="H30" i="15"/>
  <c r="N39" i="20" l="1"/>
  <c r="G6" i="19"/>
  <c r="D24" i="22" l="1"/>
  <c r="AL15" i="19" l="1"/>
  <c r="D38" i="12" l="1"/>
  <c r="C40" i="12"/>
  <c r="D81" i="12"/>
  <c r="D73" i="12"/>
  <c r="D72" i="12"/>
  <c r="D48" i="12"/>
  <c r="F55" i="17" l="1"/>
  <c r="P540" i="16"/>
  <c r="F540" i="16"/>
  <c r="P242" i="14"/>
  <c r="F242" i="14"/>
  <c r="AG11" i="19" l="1"/>
  <c r="AD11" i="19"/>
  <c r="AA11" i="19"/>
  <c r="X11" i="19"/>
  <c r="U11" i="19"/>
  <c r="R11" i="19"/>
  <c r="P21" i="14" l="1"/>
  <c r="O21" i="14"/>
  <c r="P21" i="17"/>
  <c r="O21" i="17"/>
  <c r="N21" i="17"/>
  <c r="D14" i="23" l="1"/>
  <c r="L18" i="15" l="1"/>
  <c r="H20" i="22"/>
  <c r="K20" i="22" s="1"/>
  <c r="D32" i="12" l="1"/>
  <c r="D31" i="12"/>
  <c r="D30" i="12"/>
  <c r="D28" i="12"/>
  <c r="D29" i="12"/>
  <c r="K6" i="25" l="1"/>
  <c r="D17" i="25"/>
  <c r="P21" i="16"/>
  <c r="AJ19" i="19"/>
  <c r="O11" i="19" s="1"/>
  <c r="O39" i="20" l="1"/>
  <c r="L36" i="15"/>
  <c r="AI13" i="19"/>
  <c r="AI14" i="19" s="1"/>
  <c r="AI15" i="19" s="1"/>
  <c r="AI16" i="19" s="1"/>
  <c r="AI17" i="19" s="1"/>
  <c r="AI18" i="19" s="1"/>
  <c r="J11" i="20" l="1"/>
  <c r="J10" i="20"/>
  <c r="J9" i="20"/>
  <c r="C17" i="20"/>
  <c r="A10" i="20"/>
  <c r="C10" i="20" s="1"/>
  <c r="C26" i="20" l="1"/>
  <c r="A11" i="20"/>
  <c r="C11" i="20" s="1"/>
  <c r="C35" i="20" l="1"/>
  <c r="E15" i="17" l="1"/>
  <c r="E16" i="16"/>
  <c r="E15" i="16"/>
  <c r="E16" i="14"/>
  <c r="E15" i="14"/>
  <c r="F211" i="16" l="1"/>
  <c r="F22" i="16"/>
  <c r="F481" i="16"/>
  <c r="F493" i="16"/>
  <c r="F505" i="16"/>
  <c r="F517" i="16"/>
  <c r="F529" i="16"/>
  <c r="F495" i="16"/>
  <c r="F531" i="16"/>
  <c r="F496" i="16"/>
  <c r="F520" i="16"/>
  <c r="F485" i="16"/>
  <c r="F509" i="16"/>
  <c r="F533" i="16"/>
  <c r="F498" i="16"/>
  <c r="F522" i="16"/>
  <c r="F487" i="16"/>
  <c r="F511" i="16"/>
  <c r="F488" i="16"/>
  <c r="F512" i="16"/>
  <c r="F536" i="16"/>
  <c r="F501" i="16"/>
  <c r="F525" i="16"/>
  <c r="F502" i="16"/>
  <c r="F526" i="16"/>
  <c r="F491" i="16"/>
  <c r="F527" i="16"/>
  <c r="F504" i="16"/>
  <c r="F528" i="16"/>
  <c r="F482" i="16"/>
  <c r="F494" i="16"/>
  <c r="F506" i="16"/>
  <c r="F518" i="16"/>
  <c r="F530" i="16"/>
  <c r="F507" i="16"/>
  <c r="F519" i="16"/>
  <c r="F484" i="16"/>
  <c r="F508" i="16"/>
  <c r="F532" i="16"/>
  <c r="F497" i="16"/>
  <c r="F521" i="16"/>
  <c r="F486" i="16"/>
  <c r="F510" i="16"/>
  <c r="F534" i="16"/>
  <c r="F499" i="16"/>
  <c r="F523" i="16"/>
  <c r="F535" i="16"/>
  <c r="F500" i="16"/>
  <c r="F524" i="16"/>
  <c r="F489" i="16"/>
  <c r="F513" i="16"/>
  <c r="F537" i="16"/>
  <c r="F514" i="16"/>
  <c r="F538" i="16"/>
  <c r="F503" i="16"/>
  <c r="F480" i="16"/>
  <c r="F516" i="16"/>
  <c r="F483" i="16"/>
  <c r="F490" i="16"/>
  <c r="F515" i="16"/>
  <c r="F492" i="16"/>
  <c r="F23" i="16"/>
  <c r="F35" i="16"/>
  <c r="F47" i="16"/>
  <c r="F59" i="16"/>
  <c r="F71" i="16"/>
  <c r="F83" i="16"/>
  <c r="F95" i="16"/>
  <c r="F107" i="16"/>
  <c r="F119" i="16"/>
  <c r="F131" i="16"/>
  <c r="F143" i="16"/>
  <c r="F155" i="16"/>
  <c r="F167" i="16"/>
  <c r="F179" i="16"/>
  <c r="F191" i="16"/>
  <c r="F203" i="16"/>
  <c r="F73" i="16"/>
  <c r="F109" i="16"/>
  <c r="F133" i="16"/>
  <c r="F181" i="16"/>
  <c r="F205" i="16"/>
  <c r="F38" i="16"/>
  <c r="F50" i="16"/>
  <c r="F74" i="16"/>
  <c r="F110" i="16"/>
  <c r="F134" i="16"/>
  <c r="F170" i="16"/>
  <c r="F194" i="16"/>
  <c r="F39" i="16"/>
  <c r="F75" i="16"/>
  <c r="F111" i="16"/>
  <c r="F135" i="16"/>
  <c r="F171" i="16"/>
  <c r="F195" i="16"/>
  <c r="F28" i="16"/>
  <c r="F64" i="16"/>
  <c r="F100" i="16"/>
  <c r="F136" i="16"/>
  <c r="F184" i="16"/>
  <c r="F41" i="16"/>
  <c r="F65" i="16"/>
  <c r="F89" i="16"/>
  <c r="F125" i="16"/>
  <c r="F149" i="16"/>
  <c r="F185" i="16"/>
  <c r="F30" i="16"/>
  <c r="F66" i="16"/>
  <c r="F102" i="16"/>
  <c r="F126" i="16"/>
  <c r="F162" i="16"/>
  <c r="F186" i="16"/>
  <c r="F210" i="16"/>
  <c r="F55" i="16"/>
  <c r="F79" i="16"/>
  <c r="F115" i="16"/>
  <c r="F139" i="16"/>
  <c r="F175" i="16"/>
  <c r="F199" i="16"/>
  <c r="F44" i="16"/>
  <c r="F92" i="16"/>
  <c r="F140" i="16"/>
  <c r="F188" i="16"/>
  <c r="F45" i="16"/>
  <c r="F81" i="16"/>
  <c r="F117" i="16"/>
  <c r="F165" i="16"/>
  <c r="F201" i="16"/>
  <c r="F46" i="16"/>
  <c r="F70" i="16"/>
  <c r="F94" i="16"/>
  <c r="F118" i="16"/>
  <c r="F154" i="16"/>
  <c r="F178" i="16"/>
  <c r="F24" i="16"/>
  <c r="F36" i="16"/>
  <c r="F48" i="16"/>
  <c r="F60" i="16"/>
  <c r="F72" i="16"/>
  <c r="F84" i="16"/>
  <c r="F96" i="16"/>
  <c r="F108" i="16"/>
  <c r="F120" i="16"/>
  <c r="F132" i="16"/>
  <c r="F144" i="16"/>
  <c r="F156" i="16"/>
  <c r="F168" i="16"/>
  <c r="F180" i="16"/>
  <c r="F192" i="16"/>
  <c r="F204" i="16"/>
  <c r="F61" i="16"/>
  <c r="F97" i="16"/>
  <c r="F121" i="16"/>
  <c r="F145" i="16"/>
  <c r="F169" i="16"/>
  <c r="F193" i="16"/>
  <c r="F26" i="16"/>
  <c r="F62" i="16"/>
  <c r="F86" i="16"/>
  <c r="F122" i="16"/>
  <c r="F146" i="16"/>
  <c r="F182" i="16"/>
  <c r="F206" i="16"/>
  <c r="F27" i="16"/>
  <c r="F87" i="16"/>
  <c r="F123" i="16"/>
  <c r="F159" i="16"/>
  <c r="F207" i="16"/>
  <c r="F40" i="16"/>
  <c r="F76" i="16"/>
  <c r="F112" i="16"/>
  <c r="F148" i="16"/>
  <c r="F160" i="16"/>
  <c r="F196" i="16"/>
  <c r="F29" i="16"/>
  <c r="F77" i="16"/>
  <c r="F113" i="16"/>
  <c r="F137" i="16"/>
  <c r="F173" i="16"/>
  <c r="F209" i="16"/>
  <c r="F54" i="16"/>
  <c r="F78" i="16"/>
  <c r="F114" i="16"/>
  <c r="F150" i="16"/>
  <c r="F174" i="16"/>
  <c r="F31" i="16"/>
  <c r="F67" i="16"/>
  <c r="F103" i="16"/>
  <c r="F127" i="16"/>
  <c r="F163" i="16"/>
  <c r="F187" i="16"/>
  <c r="F56" i="16"/>
  <c r="F68" i="16"/>
  <c r="F104" i="16"/>
  <c r="F116" i="16"/>
  <c r="F152" i="16"/>
  <c r="F164" i="16"/>
  <c r="F200" i="16"/>
  <c r="F33" i="16"/>
  <c r="F69" i="16"/>
  <c r="F93" i="16"/>
  <c r="F129" i="16"/>
  <c r="F153" i="16"/>
  <c r="F177" i="16"/>
  <c r="F34" i="16"/>
  <c r="F82" i="16"/>
  <c r="F106" i="16"/>
  <c r="F142" i="16"/>
  <c r="F166" i="16"/>
  <c r="F202" i="16"/>
  <c r="F25" i="16"/>
  <c r="F37" i="16"/>
  <c r="F49" i="16"/>
  <c r="F85" i="16"/>
  <c r="F157" i="16"/>
  <c r="F98" i="16"/>
  <c r="F158" i="16"/>
  <c r="F51" i="16"/>
  <c r="F63" i="16"/>
  <c r="F99" i="16"/>
  <c r="F147" i="16"/>
  <c r="F183" i="16"/>
  <c r="F52" i="16"/>
  <c r="F88" i="16"/>
  <c r="F124" i="16"/>
  <c r="F172" i="16"/>
  <c r="F208" i="16"/>
  <c r="F53" i="16"/>
  <c r="F101" i="16"/>
  <c r="F161" i="16"/>
  <c r="F197" i="16"/>
  <c r="F42" i="16"/>
  <c r="F90" i="16"/>
  <c r="F138" i="16"/>
  <c r="F198" i="16"/>
  <c r="F43" i="16"/>
  <c r="F91" i="16"/>
  <c r="F151" i="16"/>
  <c r="F32" i="16"/>
  <c r="F80" i="16"/>
  <c r="F128" i="16"/>
  <c r="F176" i="16"/>
  <c r="F57" i="16"/>
  <c r="F105" i="16"/>
  <c r="F141" i="16"/>
  <c r="F189" i="16"/>
  <c r="F58" i="16"/>
  <c r="F130" i="16"/>
  <c r="F190" i="16"/>
  <c r="F217" i="14"/>
  <c r="F219" i="14"/>
  <c r="F223" i="14"/>
  <c r="F227" i="14"/>
  <c r="F231" i="14"/>
  <c r="F235" i="14"/>
  <c r="F239" i="14"/>
  <c r="F225" i="14"/>
  <c r="F233" i="14"/>
  <c r="F218" i="14"/>
  <c r="F222" i="14"/>
  <c r="F226" i="14"/>
  <c r="F230" i="14"/>
  <c r="F234" i="14"/>
  <c r="F238" i="14"/>
  <c r="F220" i="14"/>
  <c r="F224" i="14"/>
  <c r="F228" i="14"/>
  <c r="F232" i="14"/>
  <c r="F236" i="14"/>
  <c r="F240" i="14"/>
  <c r="F221" i="14"/>
  <c r="F229" i="14"/>
  <c r="F237" i="14"/>
  <c r="F23" i="14"/>
  <c r="F22" i="14"/>
  <c r="F121" i="14"/>
  <c r="F124" i="14"/>
  <c r="F213" i="14"/>
  <c r="F209" i="14"/>
  <c r="F205" i="14"/>
  <c r="F201" i="14"/>
  <c r="F197" i="14"/>
  <c r="F193" i="14"/>
  <c r="F189" i="14"/>
  <c r="F185" i="14"/>
  <c r="F181" i="14"/>
  <c r="F177" i="14"/>
  <c r="F173" i="14"/>
  <c r="F169" i="14"/>
  <c r="F165" i="14"/>
  <c r="F161" i="14"/>
  <c r="F157" i="14"/>
  <c r="F153" i="14"/>
  <c r="F149" i="14"/>
  <c r="F145" i="14"/>
  <c r="F141" i="14"/>
  <c r="F137" i="14"/>
  <c r="F133" i="14"/>
  <c r="F129" i="14"/>
  <c r="F125" i="14"/>
  <c r="F120" i="14"/>
  <c r="F123" i="14"/>
  <c r="F216" i="14"/>
  <c r="F212" i="14"/>
  <c r="F208" i="14"/>
  <c r="F204" i="14"/>
  <c r="F200" i="14"/>
  <c r="F196" i="14"/>
  <c r="F192" i="14"/>
  <c r="F188" i="14"/>
  <c r="F184" i="14"/>
  <c r="F180" i="14"/>
  <c r="F176" i="14"/>
  <c r="F172" i="14"/>
  <c r="F168" i="14"/>
  <c r="F164" i="14"/>
  <c r="F160" i="14"/>
  <c r="F156" i="14"/>
  <c r="F152" i="14"/>
  <c r="F148" i="14"/>
  <c r="F144" i="14"/>
  <c r="F140" i="14"/>
  <c r="F136" i="14"/>
  <c r="F132" i="14"/>
  <c r="F128" i="14"/>
  <c r="F215" i="14"/>
  <c r="F211" i="14"/>
  <c r="F207" i="14"/>
  <c r="F203" i="14"/>
  <c r="F199" i="14"/>
  <c r="F195" i="14"/>
  <c r="F191" i="14"/>
  <c r="F187" i="14"/>
  <c r="F183" i="14"/>
  <c r="F179" i="14"/>
  <c r="F175" i="14"/>
  <c r="F171" i="14"/>
  <c r="F167" i="14"/>
  <c r="F163" i="14"/>
  <c r="F159" i="14"/>
  <c r="F155" i="14"/>
  <c r="F151" i="14"/>
  <c r="F147" i="14"/>
  <c r="F143" i="14"/>
  <c r="F139" i="14"/>
  <c r="F135" i="14"/>
  <c r="F131" i="14"/>
  <c r="F127" i="14"/>
  <c r="F214" i="14"/>
  <c r="F210" i="14"/>
  <c r="F206" i="14"/>
  <c r="F202" i="14"/>
  <c r="F198" i="14"/>
  <c r="F194" i="14"/>
  <c r="F190" i="14"/>
  <c r="F186" i="14"/>
  <c r="F182" i="14"/>
  <c r="F178" i="14"/>
  <c r="F174" i="14"/>
  <c r="F170" i="14"/>
  <c r="F166" i="14"/>
  <c r="F162" i="14"/>
  <c r="F158" i="14"/>
  <c r="F154" i="14"/>
  <c r="F150" i="14"/>
  <c r="F146" i="14"/>
  <c r="F142" i="14"/>
  <c r="F138" i="14"/>
  <c r="F134" i="14"/>
  <c r="F130" i="14"/>
  <c r="F126" i="14"/>
  <c r="F122" i="14"/>
  <c r="F119" i="14"/>
  <c r="F111" i="14"/>
  <c r="F103" i="14"/>
  <c r="F95" i="14"/>
  <c r="F87" i="14"/>
  <c r="F79" i="14"/>
  <c r="F71" i="14"/>
  <c r="F63" i="14"/>
  <c r="F55" i="14"/>
  <c r="F47" i="14"/>
  <c r="F39" i="14"/>
  <c r="F31" i="14"/>
  <c r="F46" i="14"/>
  <c r="F30" i="14"/>
  <c r="F77" i="14"/>
  <c r="F53" i="14"/>
  <c r="F29" i="14"/>
  <c r="F36" i="14"/>
  <c r="F91" i="14"/>
  <c r="F27" i="14"/>
  <c r="F58" i="14"/>
  <c r="F105" i="14"/>
  <c r="F49" i="14"/>
  <c r="F56" i="14"/>
  <c r="F118" i="14"/>
  <c r="F110" i="14"/>
  <c r="F102" i="14"/>
  <c r="F94" i="14"/>
  <c r="F86" i="14"/>
  <c r="F78" i="14"/>
  <c r="F70" i="14"/>
  <c r="F62" i="14"/>
  <c r="F54" i="14"/>
  <c r="F38" i="14"/>
  <c r="F85" i="14"/>
  <c r="F61" i="14"/>
  <c r="F37" i="14"/>
  <c r="F52" i="14"/>
  <c r="F75" i="14"/>
  <c r="F51" i="14"/>
  <c r="F90" i="14"/>
  <c r="F34" i="14"/>
  <c r="F73" i="14"/>
  <c r="F80" i="14"/>
  <c r="F117" i="14"/>
  <c r="F109" i="14"/>
  <c r="F101" i="14"/>
  <c r="F93" i="14"/>
  <c r="F69" i="14"/>
  <c r="F45" i="14"/>
  <c r="F44" i="14"/>
  <c r="F99" i="14"/>
  <c r="F59" i="14"/>
  <c r="F98" i="14"/>
  <c r="F50" i="14"/>
  <c r="F81" i="14"/>
  <c r="F41" i="14"/>
  <c r="F40" i="14"/>
  <c r="F116" i="14"/>
  <c r="F108" i="14"/>
  <c r="F100" i="14"/>
  <c r="F92" i="14"/>
  <c r="F84" i="14"/>
  <c r="F76" i="14"/>
  <c r="F68" i="14"/>
  <c r="F60" i="14"/>
  <c r="F28" i="14"/>
  <c r="F67" i="14"/>
  <c r="F35" i="14"/>
  <c r="F82" i="14"/>
  <c r="F42" i="14"/>
  <c r="F89" i="14"/>
  <c r="F33" i="14"/>
  <c r="F48" i="14"/>
  <c r="F115" i="14"/>
  <c r="F107" i="14"/>
  <c r="F83" i="14"/>
  <c r="F43" i="14"/>
  <c r="F74" i="14"/>
  <c r="F24" i="14"/>
  <c r="F65" i="14"/>
  <c r="F64" i="14"/>
  <c r="F114" i="14"/>
  <c r="F106" i="14"/>
  <c r="F66" i="14"/>
  <c r="F97" i="14"/>
  <c r="F72" i="14"/>
  <c r="F113" i="14"/>
  <c r="F57" i="14"/>
  <c r="F112" i="14"/>
  <c r="F104" i="14"/>
  <c r="F96" i="14"/>
  <c r="F88" i="14"/>
  <c r="F32" i="14"/>
  <c r="F37" i="17"/>
  <c r="P55" i="17"/>
  <c r="F49" i="17"/>
  <c r="F36" i="17"/>
  <c r="F24" i="17"/>
  <c r="F48" i="17"/>
  <c r="F35" i="17"/>
  <c r="F47" i="17"/>
  <c r="F34" i="17"/>
  <c r="F46" i="17"/>
  <c r="F33" i="17"/>
  <c r="F45" i="17"/>
  <c r="F32" i="17"/>
  <c r="F44" i="17"/>
  <c r="F31" i="17"/>
  <c r="F43" i="17"/>
  <c r="F30" i="17"/>
  <c r="F42" i="17"/>
  <c r="F29" i="17"/>
  <c r="F41" i="17"/>
  <c r="F28" i="17"/>
  <c r="F40" i="17"/>
  <c r="F27" i="17"/>
  <c r="F39" i="17"/>
  <c r="F26" i="17"/>
  <c r="F50" i="17"/>
  <c r="F38" i="17"/>
  <c r="F25" i="17"/>
  <c r="F25" i="14"/>
  <c r="F26" i="14"/>
  <c r="F23" i="17"/>
  <c r="F22" i="17"/>
  <c r="C12" i="19" l="1"/>
  <c r="D40" i="20"/>
  <c r="N40" i="20" l="1"/>
  <c r="O40" i="20" s="1"/>
  <c r="H40" i="20"/>
  <c r="C13" i="19"/>
  <c r="D41" i="20"/>
  <c r="N41" i="20" l="1"/>
  <c r="O41" i="20" s="1"/>
  <c r="H41" i="20"/>
  <c r="C14" i="19"/>
  <c r="D42" i="20"/>
  <c r="N42" i="20" l="1"/>
  <c r="O42" i="20" s="1"/>
  <c r="H42" i="20"/>
  <c r="C15" i="19"/>
  <c r="D43" i="20"/>
  <c r="N43" i="20" l="1"/>
  <c r="O43" i="20" s="1"/>
  <c r="H43" i="20"/>
  <c r="C16" i="19"/>
  <c r="D44" i="20"/>
  <c r="N44" i="20" l="1"/>
  <c r="O44" i="20" s="1"/>
  <c r="H44" i="20"/>
  <c r="C17" i="19"/>
  <c r="D45" i="20"/>
  <c r="N45" i="20" l="1"/>
  <c r="O45" i="20" s="1"/>
  <c r="H45" i="20"/>
  <c r="D46" i="20"/>
  <c r="C18" i="19"/>
  <c r="N46" i="20" l="1"/>
  <c r="O46" i="20" s="1"/>
  <c r="H46" i="20"/>
  <c r="D47" i="20"/>
  <c r="C19" i="19"/>
  <c r="N47" i="20" l="1"/>
  <c r="O47" i="20" s="1"/>
  <c r="H47" i="20"/>
  <c r="D48" i="20"/>
  <c r="C20" i="19"/>
  <c r="N48" i="20" l="1"/>
  <c r="O48" i="20" s="1"/>
  <c r="H48" i="20"/>
  <c r="D49" i="20"/>
  <c r="C21" i="19"/>
  <c r="N49" i="20" l="1"/>
  <c r="O49" i="20" s="1"/>
  <c r="H49" i="20"/>
  <c r="D50" i="20"/>
  <c r="C22" i="19"/>
  <c r="N50" i="20" l="1"/>
  <c r="O50" i="20" s="1"/>
  <c r="H50" i="20"/>
  <c r="C23" i="19"/>
  <c r="D51" i="20"/>
  <c r="N51" i="20" l="1"/>
  <c r="O51" i="20" s="1"/>
  <c r="H51" i="20"/>
  <c r="D52" i="20"/>
  <c r="C24" i="19"/>
  <c r="N52" i="20" l="1"/>
  <c r="O52" i="20" s="1"/>
  <c r="H52" i="20"/>
  <c r="D53" i="20"/>
  <c r="C25" i="19"/>
  <c r="N53" i="20" l="1"/>
  <c r="O53" i="20" s="1"/>
  <c r="H53" i="20"/>
  <c r="D54" i="20"/>
  <c r="C26" i="19"/>
  <c r="N54" i="20" l="1"/>
  <c r="O54" i="20" s="1"/>
  <c r="H54" i="20"/>
  <c r="C27" i="19"/>
  <c r="D55" i="20"/>
  <c r="N55" i="20" l="1"/>
  <c r="O55" i="20" s="1"/>
  <c r="H55" i="20"/>
  <c r="C28" i="19"/>
  <c r="D56" i="20"/>
  <c r="N56" i="20" l="1"/>
  <c r="O56" i="20" s="1"/>
  <c r="H56" i="20"/>
  <c r="D57" i="20"/>
  <c r="C29" i="19"/>
  <c r="N57" i="20" l="1"/>
  <c r="O57" i="20" s="1"/>
  <c r="H57" i="20"/>
  <c r="C30" i="19"/>
  <c r="D58" i="20"/>
  <c r="N58" i="20" l="1"/>
  <c r="O58" i="20" s="1"/>
  <c r="H58" i="20"/>
  <c r="D59" i="20"/>
  <c r="C31" i="19"/>
  <c r="N59" i="20" l="1"/>
  <c r="O59" i="20" s="1"/>
  <c r="H59" i="20"/>
  <c r="C32" i="19"/>
  <c r="D60" i="20"/>
  <c r="N60" i="20" l="1"/>
  <c r="H60" i="20"/>
  <c r="C33" i="19"/>
  <c r="D61" i="20"/>
  <c r="N61" i="20" l="1"/>
  <c r="H61" i="20"/>
  <c r="C34" i="19"/>
  <c r="D62" i="20"/>
  <c r="D63" i="20" l="1"/>
  <c r="N63" i="20" s="1"/>
  <c r="C35" i="19"/>
  <c r="D64" i="20" l="1"/>
  <c r="N64" i="20" s="1"/>
  <c r="C36" i="19"/>
  <c r="C37" i="19" l="1"/>
  <c r="D65" i="20"/>
  <c r="N65" i="20" s="1"/>
  <c r="D66" i="20" l="1"/>
  <c r="N66" i="20" s="1"/>
  <c r="C38" i="19"/>
  <c r="D67" i="20" l="1"/>
  <c r="N67" i="20" s="1"/>
  <c r="C39" i="19"/>
  <c r="D68" i="20" l="1"/>
  <c r="C40" i="19"/>
  <c r="D69" i="20" l="1"/>
  <c r="C41" i="19"/>
  <c r="Q69" i="20" l="1"/>
  <c r="N69" i="20"/>
  <c r="L69" i="20"/>
  <c r="M69" i="20" s="1"/>
  <c r="D70" i="20"/>
  <c r="C42" i="19"/>
  <c r="Q70" i="20" l="1"/>
  <c r="L70" i="20"/>
  <c r="M70" i="20" s="1"/>
  <c r="C43" i="19"/>
  <c r="D71" i="20"/>
  <c r="Q71" i="20" l="1"/>
  <c r="L71" i="20"/>
  <c r="M71" i="20" s="1"/>
  <c r="D72" i="20"/>
  <c r="C44" i="19"/>
  <c r="Q72" i="20" l="1"/>
  <c r="L72" i="20"/>
  <c r="M72" i="20" s="1"/>
  <c r="C45" i="19"/>
  <c r="D73" i="20"/>
  <c r="Q73" i="20" l="1"/>
  <c r="L73" i="20"/>
  <c r="M73" i="20" s="1"/>
  <c r="D74" i="20"/>
  <c r="C46" i="19"/>
  <c r="Q74" i="20" l="1"/>
  <c r="L74" i="20"/>
  <c r="M74" i="20" s="1"/>
  <c r="D75" i="20"/>
  <c r="C47" i="19"/>
  <c r="Q75" i="20" l="1"/>
  <c r="L75" i="20"/>
  <c r="M75" i="20" s="1"/>
  <c r="D76" i="20"/>
  <c r="C48" i="19"/>
  <c r="Q76" i="20" l="1"/>
  <c r="L76" i="20"/>
  <c r="M76" i="20" s="1"/>
  <c r="D77" i="20"/>
  <c r="C49" i="19"/>
  <c r="Q77" i="20" l="1"/>
  <c r="L77" i="20"/>
  <c r="M77" i="20" s="1"/>
  <c r="D78" i="20"/>
  <c r="C50" i="19"/>
  <c r="Q78" i="20" l="1"/>
  <c r="L78" i="20"/>
  <c r="M78" i="20" s="1"/>
  <c r="C51" i="19"/>
  <c r="D79" i="20"/>
  <c r="Q79" i="20" l="1"/>
  <c r="L79" i="20"/>
  <c r="M79" i="20" s="1"/>
  <c r="D80" i="20"/>
  <c r="C52" i="19"/>
  <c r="Q80" i="20" l="1"/>
  <c r="L80" i="20"/>
  <c r="M80" i="20" s="1"/>
  <c r="D81" i="20"/>
  <c r="C53" i="19"/>
  <c r="Q81" i="20" l="1"/>
  <c r="L81" i="20"/>
  <c r="M81" i="20" s="1"/>
  <c r="D82" i="20"/>
  <c r="C54" i="19"/>
  <c r="Q82" i="20" l="1"/>
  <c r="L82" i="20"/>
  <c r="M82" i="20" s="1"/>
  <c r="D83" i="20"/>
  <c r="C55" i="19"/>
  <c r="Q83" i="20" l="1"/>
  <c r="L83" i="20"/>
  <c r="M83" i="20" s="1"/>
  <c r="D84" i="20"/>
  <c r="C56" i="19"/>
  <c r="Q84" i="20" l="1"/>
  <c r="L84" i="20"/>
  <c r="M84" i="20" s="1"/>
  <c r="D85" i="20"/>
  <c r="C57" i="19"/>
  <c r="Q85" i="20" l="1"/>
  <c r="L85" i="20"/>
  <c r="M85" i="20" s="1"/>
  <c r="D86" i="20"/>
  <c r="C58" i="19"/>
  <c r="Q86" i="20" l="1"/>
  <c r="L86" i="20"/>
  <c r="M86" i="20" s="1"/>
  <c r="D87" i="20"/>
  <c r="C59" i="19"/>
  <c r="Q87" i="20" l="1"/>
  <c r="L87" i="20"/>
  <c r="M87" i="20" s="1"/>
  <c r="D88" i="20"/>
  <c r="C60" i="19"/>
  <c r="Q88" i="20" l="1"/>
  <c r="L88" i="20"/>
  <c r="M88" i="20" s="1"/>
  <c r="C61" i="19"/>
  <c r="D89" i="20"/>
  <c r="Q89" i="20" l="1"/>
  <c r="L89" i="20"/>
  <c r="M89" i="20" s="1"/>
  <c r="D90" i="20"/>
  <c r="C62" i="19"/>
  <c r="Q90" i="20" l="1"/>
  <c r="L90" i="20"/>
  <c r="M90" i="20" s="1"/>
  <c r="D91" i="20"/>
  <c r="C63" i="19"/>
  <c r="Q91" i="20" l="1"/>
  <c r="L91" i="20"/>
  <c r="M91" i="20" s="1"/>
  <c r="D92" i="20"/>
  <c r="C64" i="19"/>
  <c r="Q92" i="20" l="1"/>
  <c r="L92" i="20"/>
  <c r="M92" i="20" s="1"/>
  <c r="D93" i="20"/>
  <c r="C65" i="19"/>
  <c r="Q93" i="20" l="1"/>
  <c r="L93" i="20"/>
  <c r="M93" i="20" s="1"/>
  <c r="C66" i="19"/>
  <c r="D94" i="20"/>
  <c r="Q94" i="20" l="1"/>
  <c r="L94" i="20"/>
  <c r="M94" i="20" s="1"/>
  <c r="D95" i="20"/>
  <c r="C67" i="19"/>
  <c r="Q95" i="20" l="1"/>
  <c r="L95" i="20"/>
  <c r="M95" i="20" s="1"/>
  <c r="C68" i="19"/>
  <c r="D96" i="20"/>
  <c r="Q96" i="20" l="1"/>
  <c r="L96" i="20"/>
  <c r="M96" i="20" s="1"/>
  <c r="D97" i="20"/>
  <c r="C69" i="19"/>
  <c r="Q97" i="20" l="1"/>
  <c r="L97" i="20"/>
  <c r="M97" i="20" s="1"/>
  <c r="D98" i="20"/>
  <c r="C70" i="19"/>
  <c r="Q98" i="20" l="1"/>
  <c r="L98" i="20"/>
  <c r="M98" i="20" s="1"/>
  <c r="D99" i="20"/>
  <c r="C71" i="19"/>
  <c r="H99" i="20" l="1"/>
  <c r="L99" i="20"/>
  <c r="M99" i="20" s="1"/>
  <c r="R99" i="20"/>
  <c r="U99" i="20"/>
  <c r="G99" i="20"/>
  <c r="F99" i="20"/>
  <c r="E99" i="20"/>
  <c r="C72" i="19"/>
  <c r="D100" i="20"/>
  <c r="N100" i="20" l="1"/>
  <c r="H100" i="20"/>
  <c r="L100" i="20"/>
  <c r="M100" i="20" s="1"/>
  <c r="F100" i="20"/>
  <c r="R100" i="20"/>
  <c r="G100" i="20"/>
  <c r="E100" i="20"/>
  <c r="U100" i="20"/>
  <c r="C73" i="19"/>
  <c r="D101" i="20"/>
  <c r="N101" i="20" l="1"/>
  <c r="H101" i="20"/>
  <c r="L101" i="20"/>
  <c r="M101" i="20" s="1"/>
  <c r="R101" i="20"/>
  <c r="G101" i="20"/>
  <c r="U101" i="20"/>
  <c r="E101" i="20"/>
  <c r="F101" i="20"/>
  <c r="C74" i="19"/>
  <c r="D102" i="20"/>
  <c r="N102" i="20" l="1"/>
  <c r="H102" i="20"/>
  <c r="L102" i="20"/>
  <c r="M102" i="20" s="1"/>
  <c r="F102" i="20"/>
  <c r="R102" i="20"/>
  <c r="E102" i="20"/>
  <c r="U102" i="20"/>
  <c r="G102" i="20"/>
  <c r="C75" i="19"/>
  <c r="D103" i="20"/>
  <c r="N103" i="20" l="1"/>
  <c r="H103" i="20"/>
  <c r="L103" i="20"/>
  <c r="M103" i="20" s="1"/>
  <c r="U103" i="20"/>
  <c r="G103" i="20"/>
  <c r="R103" i="20"/>
  <c r="E103" i="20"/>
  <c r="F103" i="20"/>
  <c r="C76" i="19"/>
  <c r="D104" i="20"/>
  <c r="N104" i="20" l="1"/>
  <c r="H104" i="20"/>
  <c r="L104" i="20"/>
  <c r="M104" i="20" s="1"/>
  <c r="F104" i="20"/>
  <c r="U104" i="20"/>
  <c r="E104" i="20"/>
  <c r="R104" i="20"/>
  <c r="G104" i="20"/>
  <c r="C77" i="19"/>
  <c r="D105" i="20"/>
  <c r="N105" i="20" l="1"/>
  <c r="H105" i="20"/>
  <c r="L105" i="20"/>
  <c r="M105" i="20" s="1"/>
  <c r="U105" i="20"/>
  <c r="G105" i="20"/>
  <c r="R105" i="20"/>
  <c r="F105" i="20"/>
  <c r="E105" i="20"/>
  <c r="C78" i="19"/>
  <c r="D106" i="20"/>
  <c r="N106" i="20" l="1"/>
  <c r="H106" i="20"/>
  <c r="L106" i="20"/>
  <c r="M106" i="20" s="1"/>
  <c r="F106" i="20"/>
  <c r="G106" i="20"/>
  <c r="E106" i="20"/>
  <c r="R106" i="20"/>
  <c r="U106" i="20"/>
  <c r="C79" i="19"/>
  <c r="D107" i="20"/>
  <c r="H107" i="20" s="1"/>
  <c r="D17" i="22" l="1"/>
  <c r="N107" i="20"/>
  <c r="L107" i="20"/>
  <c r="M107" i="20" s="1"/>
  <c r="R107" i="20"/>
  <c r="G107" i="20"/>
  <c r="E107" i="20"/>
  <c r="U107" i="20"/>
  <c r="F107" i="20"/>
  <c r="C80" i="19"/>
  <c r="D108" i="20"/>
  <c r="N108" i="20" l="1"/>
  <c r="H108" i="20"/>
  <c r="L108" i="20"/>
  <c r="M108" i="20" s="1"/>
  <c r="F108" i="20"/>
  <c r="R108" i="20"/>
  <c r="E108" i="20"/>
  <c r="G108" i="20"/>
  <c r="U108" i="20"/>
  <c r="C81" i="19"/>
  <c r="D109" i="20"/>
  <c r="N109" i="20" l="1"/>
  <c r="H109" i="20"/>
  <c r="L109" i="20"/>
  <c r="M109" i="20" s="1"/>
  <c r="E109" i="20"/>
  <c r="G109" i="20"/>
  <c r="U109" i="20"/>
  <c r="F109" i="20"/>
  <c r="R109" i="20"/>
  <c r="C82" i="19"/>
  <c r="D110" i="20"/>
  <c r="N110" i="20" l="1"/>
  <c r="H110" i="20"/>
  <c r="L110" i="20"/>
  <c r="M110" i="20" s="1"/>
  <c r="F110" i="20"/>
  <c r="E110" i="20"/>
  <c r="U110" i="20"/>
  <c r="G110" i="20"/>
  <c r="R110" i="20"/>
  <c r="C83" i="19"/>
  <c r="D111" i="20"/>
  <c r="N111" i="20" l="1"/>
  <c r="H111" i="20"/>
  <c r="L111" i="20"/>
  <c r="M111" i="20" s="1"/>
  <c r="U111" i="20"/>
  <c r="G111" i="20"/>
  <c r="E111" i="20"/>
  <c r="R111" i="20"/>
  <c r="F111" i="20"/>
  <c r="C84" i="19"/>
  <c r="D112" i="20"/>
  <c r="N112" i="20" l="1"/>
  <c r="H112" i="20"/>
  <c r="L112" i="20"/>
  <c r="M112" i="20" s="1"/>
  <c r="F112" i="20"/>
  <c r="U112" i="20"/>
  <c r="E112" i="20"/>
  <c r="R112" i="20"/>
  <c r="G112" i="20"/>
  <c r="C85" i="19"/>
  <c r="D113" i="20"/>
  <c r="N113" i="20" l="1"/>
  <c r="H113" i="20"/>
  <c r="L113" i="20"/>
  <c r="M113" i="20" s="1"/>
  <c r="R113" i="20"/>
  <c r="E113" i="20"/>
  <c r="G113" i="20"/>
  <c r="U113" i="20"/>
  <c r="F113" i="20"/>
  <c r="C86" i="19"/>
  <c r="D114" i="20"/>
  <c r="N114" i="20" l="1"/>
  <c r="H114" i="20"/>
  <c r="L114" i="20"/>
  <c r="M114" i="20" s="1"/>
  <c r="F114" i="20"/>
  <c r="U114" i="20"/>
  <c r="G114" i="20"/>
  <c r="E114" i="20"/>
  <c r="R114" i="20"/>
  <c r="C87" i="19"/>
  <c r="D115" i="20"/>
  <c r="N115" i="20" l="1"/>
  <c r="H115" i="20"/>
  <c r="L115" i="20"/>
  <c r="M115" i="20" s="1"/>
  <c r="R115" i="20"/>
  <c r="G115" i="20"/>
  <c r="E115" i="20"/>
  <c r="F115" i="20"/>
  <c r="U115" i="20"/>
  <c r="C88" i="19"/>
  <c r="D116" i="20"/>
  <c r="N116" i="20" l="1"/>
  <c r="H116" i="20"/>
  <c r="L116" i="20"/>
  <c r="M116" i="20" s="1"/>
  <c r="F116" i="20"/>
  <c r="R116" i="20"/>
  <c r="E116" i="20"/>
  <c r="G116" i="20"/>
  <c r="U116" i="20"/>
  <c r="C89" i="19"/>
  <c r="D117" i="20"/>
  <c r="N117" i="20" l="1"/>
  <c r="H117" i="20"/>
  <c r="L117" i="20"/>
  <c r="M117" i="20" s="1"/>
  <c r="G117" i="20"/>
  <c r="U117" i="20"/>
  <c r="R117" i="20"/>
  <c r="F117" i="20"/>
  <c r="E117" i="20"/>
  <c r="C90" i="19"/>
  <c r="D118" i="20"/>
  <c r="N118" i="20" l="1"/>
  <c r="H118" i="20"/>
  <c r="L118" i="20"/>
  <c r="M118" i="20" s="1"/>
  <c r="F118" i="20"/>
  <c r="E118" i="20"/>
  <c r="U118" i="20"/>
  <c r="R118" i="20"/>
  <c r="G118" i="20"/>
  <c r="C91" i="19"/>
  <c r="D119" i="20"/>
  <c r="N119" i="20" l="1"/>
  <c r="H119" i="20"/>
  <c r="L119" i="20"/>
  <c r="M119" i="20" s="1"/>
  <c r="U119" i="20"/>
  <c r="R119" i="20"/>
  <c r="G119" i="20"/>
  <c r="E119" i="20"/>
  <c r="F119" i="20"/>
  <c r="C92" i="19"/>
  <c r="D120" i="20"/>
  <c r="N120" i="20" l="1"/>
  <c r="H120" i="20"/>
  <c r="L120" i="20"/>
  <c r="M120" i="20" s="1"/>
  <c r="F120" i="20"/>
  <c r="U120" i="20"/>
  <c r="E120" i="20"/>
  <c r="G120" i="20"/>
  <c r="R120" i="20"/>
  <c r="C93" i="19"/>
  <c r="D121" i="20"/>
  <c r="N121" i="20" l="1"/>
  <c r="H121" i="20"/>
  <c r="L121" i="20"/>
  <c r="M121" i="20" s="1"/>
  <c r="U121" i="20"/>
  <c r="G121" i="20"/>
  <c r="R121" i="20"/>
  <c r="E121" i="20"/>
  <c r="F121" i="20"/>
  <c r="C94" i="19"/>
  <c r="D122" i="20"/>
  <c r="N122" i="20" l="1"/>
  <c r="H122" i="20"/>
  <c r="L122" i="20"/>
  <c r="M122" i="20" s="1"/>
  <c r="F122" i="20"/>
  <c r="E122" i="20"/>
  <c r="R122" i="20"/>
  <c r="U122" i="20"/>
  <c r="G122" i="20"/>
  <c r="C95" i="19"/>
  <c r="D123" i="20"/>
  <c r="N123" i="20" l="1"/>
  <c r="H123" i="20"/>
  <c r="L123" i="20"/>
  <c r="M123" i="20" s="1"/>
  <c r="R123" i="20"/>
  <c r="U123" i="20"/>
  <c r="G123" i="20"/>
  <c r="E123" i="20"/>
  <c r="F123" i="20"/>
  <c r="C96" i="19"/>
  <c r="D124" i="20"/>
  <c r="N124" i="20" l="1"/>
  <c r="H124" i="20"/>
  <c r="L124" i="20"/>
  <c r="M124" i="20" s="1"/>
  <c r="F124" i="20"/>
  <c r="R124" i="20"/>
  <c r="G124" i="20"/>
  <c r="E124" i="20"/>
  <c r="U124" i="20"/>
  <c r="C97" i="19"/>
  <c r="D125" i="20"/>
  <c r="N125" i="20" l="1"/>
  <c r="H125" i="20"/>
  <c r="L125" i="20"/>
  <c r="M125" i="20" s="1"/>
  <c r="U125" i="20"/>
  <c r="G125" i="20"/>
  <c r="E125" i="20"/>
  <c r="R125" i="20"/>
  <c r="F125" i="20"/>
  <c r="C98" i="19"/>
  <c r="D126" i="20"/>
  <c r="N126" i="20" l="1"/>
  <c r="H126" i="20"/>
  <c r="L126" i="20"/>
  <c r="M126" i="20" s="1"/>
  <c r="F126" i="20"/>
  <c r="R126" i="20"/>
  <c r="E126" i="20"/>
  <c r="U126" i="20"/>
  <c r="G126" i="20"/>
  <c r="C99" i="19"/>
  <c r="D127" i="20"/>
  <c r="N127" i="20" l="1"/>
  <c r="H127" i="20"/>
  <c r="L127" i="20"/>
  <c r="M127" i="20" s="1"/>
  <c r="U127" i="20"/>
  <c r="G127" i="20"/>
  <c r="E127" i="20"/>
  <c r="F127" i="20"/>
  <c r="R127" i="20"/>
  <c r="C100" i="19"/>
  <c r="D128" i="20"/>
  <c r="N128" i="20" l="1"/>
  <c r="H128" i="20"/>
  <c r="L128" i="20"/>
  <c r="M128" i="20" s="1"/>
  <c r="F128" i="20"/>
  <c r="U128" i="20"/>
  <c r="E128" i="20"/>
  <c r="R128" i="20"/>
  <c r="G128" i="20"/>
  <c r="C101" i="19"/>
  <c r="D129" i="20"/>
  <c r="N129" i="20" l="1"/>
  <c r="H129" i="20"/>
  <c r="D18" i="22"/>
  <c r="L129" i="20"/>
  <c r="M129" i="20" s="1"/>
  <c r="R129" i="20"/>
  <c r="G129" i="20"/>
  <c r="E129" i="20"/>
  <c r="F129" i="20"/>
  <c r="U129" i="20"/>
  <c r="C102" i="19"/>
  <c r="Q36" i="20" l="1"/>
  <c r="B33" i="20"/>
  <c r="R39" i="20"/>
  <c r="U39" i="20"/>
  <c r="N62" i="20" l="1"/>
  <c r="U40" i="20"/>
  <c r="R40" i="20"/>
  <c r="R41" i="20" l="1"/>
  <c r="U41" i="20"/>
  <c r="R42" i="20" l="1"/>
  <c r="U42" i="20"/>
  <c r="R43" i="20" l="1"/>
  <c r="U43" i="20"/>
  <c r="U44" i="20" l="1"/>
  <c r="R44" i="20"/>
  <c r="R45" i="20" l="1"/>
  <c r="U45" i="20"/>
  <c r="R46" i="20" l="1"/>
  <c r="U46" i="20"/>
  <c r="R47" i="20" l="1"/>
  <c r="U47" i="20"/>
  <c r="U48" i="20" l="1"/>
  <c r="R48" i="20"/>
  <c r="R49" i="20" l="1"/>
  <c r="U49" i="20"/>
  <c r="R50" i="20" l="1"/>
  <c r="U50" i="20"/>
  <c r="R51" i="20" l="1"/>
  <c r="U51" i="20"/>
  <c r="U52" i="20" l="1"/>
  <c r="R52" i="20"/>
  <c r="R53" i="20" l="1"/>
  <c r="U53" i="20"/>
  <c r="U54" i="20" l="1"/>
  <c r="R54" i="20"/>
  <c r="R55" i="20" l="1"/>
  <c r="U55" i="20"/>
  <c r="U56" i="20" l="1"/>
  <c r="R56" i="20"/>
  <c r="R57" i="20" l="1"/>
  <c r="U57" i="20"/>
  <c r="R58" i="20" l="1"/>
  <c r="U58" i="20"/>
  <c r="R59" i="20" l="1"/>
  <c r="U59" i="20"/>
  <c r="U60" i="20"/>
  <c r="U61" i="20"/>
  <c r="R60" i="20"/>
  <c r="R61" i="20"/>
  <c r="H62" i="20" l="1"/>
  <c r="R62" i="20"/>
  <c r="U62" i="20"/>
  <c r="O62" i="20"/>
  <c r="H63" i="20" l="1"/>
  <c r="R63" i="20"/>
  <c r="U63" i="20"/>
  <c r="O63" i="20"/>
  <c r="O61" i="20"/>
  <c r="H64" i="20" l="1"/>
  <c r="R64" i="20"/>
  <c r="O64" i="20"/>
  <c r="U64" i="20"/>
  <c r="O60" i="20"/>
  <c r="H65" i="20" l="1"/>
  <c r="R65" i="20"/>
  <c r="O65" i="20"/>
  <c r="U65" i="20"/>
  <c r="H66" i="20" l="1"/>
  <c r="U66" i="20"/>
  <c r="R66" i="20"/>
  <c r="O66" i="20"/>
  <c r="H67" i="20" l="1"/>
  <c r="O67" i="20"/>
  <c r="U67" i="20"/>
  <c r="R67" i="20"/>
  <c r="R68" i="20" l="1"/>
  <c r="C69" i="20"/>
  <c r="C68" i="20" s="1"/>
  <c r="C67" i="20" l="1"/>
  <c r="C66" i="20" s="1"/>
  <c r="C65" i="20" s="1"/>
  <c r="C70" i="20"/>
  <c r="R69" i="20"/>
  <c r="C64" i="20" l="1"/>
  <c r="R70" i="20"/>
  <c r="C71" i="20"/>
  <c r="C63" i="20" l="1"/>
  <c r="R71" i="20"/>
  <c r="C72" i="20"/>
  <c r="C62" i="20" l="1"/>
  <c r="C73" i="20"/>
  <c r="R72" i="20"/>
  <c r="C61" i="20" l="1"/>
  <c r="C74" i="20"/>
  <c r="R73" i="20"/>
  <c r="C60" i="20" l="1"/>
  <c r="R74" i="20"/>
  <c r="C75" i="20"/>
  <c r="C59" i="20" l="1"/>
  <c r="C76" i="20"/>
  <c r="R75" i="20"/>
  <c r="C58" i="20" l="1"/>
  <c r="R76" i="20"/>
  <c r="C77" i="20"/>
  <c r="C57" i="20" l="1"/>
  <c r="C78" i="20"/>
  <c r="R77" i="20"/>
  <c r="C56" i="20" l="1"/>
  <c r="C79" i="20"/>
  <c r="R78" i="20"/>
  <c r="C55" i="20" l="1"/>
  <c r="R79" i="20"/>
  <c r="C80" i="20"/>
  <c r="C54" i="20" l="1"/>
  <c r="R80" i="20"/>
  <c r="C81" i="20"/>
  <c r="C53" i="20" l="1"/>
  <c r="C82" i="20"/>
  <c r="R81" i="20"/>
  <c r="C52" i="20" l="1"/>
  <c r="R82" i="20"/>
  <c r="C83" i="20"/>
  <c r="C51" i="20" l="1"/>
  <c r="C84" i="20"/>
  <c r="R83" i="20"/>
  <c r="C50" i="20" l="1"/>
  <c r="C85" i="20"/>
  <c r="R84" i="20"/>
  <c r="C49" i="20" l="1"/>
  <c r="C86" i="20"/>
  <c r="R85" i="20"/>
  <c r="C48" i="20" l="1"/>
  <c r="R86" i="20"/>
  <c r="C87" i="20"/>
  <c r="C47" i="20" l="1"/>
  <c r="C88" i="20"/>
  <c r="R87" i="20"/>
  <c r="C46" i="20" l="1"/>
  <c r="C89" i="20"/>
  <c r="R88" i="20"/>
  <c r="C45" i="20" l="1"/>
  <c r="R89" i="20"/>
  <c r="C90" i="20"/>
  <c r="C44" i="20" l="1"/>
  <c r="R90" i="20"/>
  <c r="C91" i="20"/>
  <c r="C43" i="20" l="1"/>
  <c r="R91" i="20"/>
  <c r="C92" i="20"/>
  <c r="R92" i="20" l="1"/>
  <c r="C42" i="20"/>
  <c r="C93" i="20"/>
  <c r="C41" i="20" l="1"/>
  <c r="R93" i="20"/>
  <c r="C94" i="20"/>
  <c r="C40" i="20" l="1"/>
  <c r="R94" i="20"/>
  <c r="C95" i="20"/>
  <c r="C39" i="20" l="1"/>
  <c r="R95" i="20"/>
  <c r="C96" i="20"/>
  <c r="R96" i="20" l="1"/>
  <c r="C97" i="20"/>
  <c r="R97" i="20" l="1"/>
  <c r="C98" i="20"/>
  <c r="R98" i="20" l="1"/>
  <c r="R29" i="20" s="1"/>
  <c r="G25" i="25" s="1"/>
  <c r="C99" i="20"/>
  <c r="C100" i="20" l="1"/>
  <c r="C101" i="20" l="1"/>
  <c r="O100" i="20"/>
  <c r="O101" i="20" l="1"/>
  <c r="C102" i="20"/>
  <c r="C103" i="20" l="1"/>
  <c r="O102" i="20"/>
  <c r="C104" i="20" l="1"/>
  <c r="O103" i="20"/>
  <c r="C105" i="20" l="1"/>
  <c r="O104" i="20"/>
  <c r="O105" i="20" l="1"/>
  <c r="C106" i="20"/>
  <c r="C107" i="20" l="1"/>
  <c r="G27" i="25" s="1"/>
  <c r="O106" i="20"/>
  <c r="C108" i="20" l="1"/>
  <c r="O107" i="20"/>
  <c r="C109" i="20" l="1"/>
  <c r="O108" i="20"/>
  <c r="C110" i="20" l="1"/>
  <c r="O109" i="20"/>
  <c r="C111" i="20" l="1"/>
  <c r="O110" i="20"/>
  <c r="C112" i="20" l="1"/>
  <c r="O111" i="20"/>
  <c r="O112" i="20" l="1"/>
  <c r="C113" i="20"/>
  <c r="C114" i="20" l="1"/>
  <c r="O113" i="20"/>
  <c r="O114" i="20" l="1"/>
  <c r="C115" i="20"/>
  <c r="C116" i="20" l="1"/>
  <c r="O115" i="20"/>
  <c r="C117" i="20" l="1"/>
  <c r="O116" i="20"/>
  <c r="C118" i="20" l="1"/>
  <c r="O117" i="20"/>
  <c r="C119" i="20" l="1"/>
  <c r="O118" i="20"/>
  <c r="C120" i="20" l="1"/>
  <c r="O119" i="20"/>
  <c r="C121" i="20" l="1"/>
  <c r="O120" i="20"/>
  <c r="C122" i="20" l="1"/>
  <c r="O121" i="20"/>
  <c r="O122" i="20" l="1"/>
  <c r="C123" i="20"/>
  <c r="O123" i="20" l="1"/>
  <c r="C124" i="20"/>
  <c r="C125" i="20" l="1"/>
  <c r="O124" i="20"/>
  <c r="C126" i="20" l="1"/>
  <c r="O125" i="20"/>
  <c r="C127" i="20" l="1"/>
  <c r="O126" i="20"/>
  <c r="C128" i="20" l="1"/>
  <c r="O127" i="20"/>
  <c r="O128" i="20" l="1"/>
  <c r="C129" i="20"/>
  <c r="O129" i="20" s="1"/>
  <c r="N99" i="20" l="1"/>
  <c r="O99" i="20" s="1"/>
  <c r="H68" i="20" l="1"/>
  <c r="N74" i="20" l="1"/>
  <c r="O74" i="20" s="1"/>
  <c r="N78" i="20" l="1"/>
  <c r="O78" i="20" s="1"/>
  <c r="N79" i="20" l="1"/>
  <c r="O79" i="20" s="1"/>
  <c r="N77" i="20"/>
  <c r="O77" i="20" s="1"/>
  <c r="N76" i="20"/>
  <c r="O76" i="20" s="1"/>
  <c r="N75" i="20" l="1"/>
  <c r="O75" i="20" s="1"/>
  <c r="N83" i="20" l="1"/>
  <c r="O83" i="20" s="1"/>
  <c r="N86" i="20" l="1"/>
  <c r="O86" i="20" s="1"/>
  <c r="N85" i="20"/>
  <c r="O85" i="20" s="1"/>
  <c r="N81" i="20"/>
  <c r="O81" i="20" s="1"/>
  <c r="N84" i="20"/>
  <c r="O84" i="20" s="1"/>
  <c r="N82" i="20"/>
  <c r="O82" i="20" s="1"/>
  <c r="N80" i="20"/>
  <c r="O80" i="20" s="1"/>
  <c r="U68" i="20" l="1"/>
  <c r="N71" i="20" l="1"/>
  <c r="O71" i="20" s="1"/>
  <c r="N68" i="20" l="1"/>
  <c r="O68" i="20" s="1"/>
  <c r="O69" i="20" l="1"/>
  <c r="F6" i="19" l="1"/>
  <c r="J9" i="19"/>
  <c r="G9" i="19"/>
  <c r="S47" i="19"/>
  <c r="Y77" i="19"/>
  <c r="P67" i="19"/>
  <c r="AH66" i="19"/>
  <c r="P51" i="19"/>
  <c r="Y53" i="19"/>
  <c r="P54" i="19"/>
  <c r="S45" i="19"/>
  <c r="V93" i="19"/>
  <c r="AE32" i="19"/>
  <c r="P28" i="19"/>
  <c r="Y38" i="19"/>
  <c r="AH98" i="19"/>
  <c r="AB40" i="19"/>
  <c r="AE17" i="19"/>
  <c r="AH63" i="19"/>
  <c r="P83" i="19"/>
  <c r="AE47" i="19"/>
  <c r="Y50" i="19"/>
  <c r="AH54" i="19"/>
  <c r="AE28" i="19"/>
  <c r="P14" i="19"/>
  <c r="Y12" i="19"/>
  <c r="AH19" i="19"/>
  <c r="V16" i="19"/>
  <c r="P87" i="19"/>
  <c r="AB25" i="19"/>
  <c r="P50" i="19"/>
  <c r="V76" i="19"/>
  <c r="AB79" i="19"/>
  <c r="P82" i="19"/>
  <c r="AE93" i="19"/>
  <c r="AH57" i="19"/>
  <c r="V82" i="19"/>
  <c r="S95" i="19"/>
  <c r="V27" i="19"/>
  <c r="AB28" i="19"/>
  <c r="AE27" i="19"/>
  <c r="Y71" i="19"/>
  <c r="Y84" i="19"/>
  <c r="V42" i="19"/>
  <c r="V96" i="19"/>
  <c r="AB99" i="19"/>
  <c r="P43" i="19"/>
  <c r="Y81" i="19"/>
  <c r="AH77" i="19"/>
  <c r="S92" i="19"/>
  <c r="V63" i="19"/>
  <c r="AB41" i="19"/>
  <c r="P12" i="19"/>
  <c r="AE80" i="19"/>
  <c r="AH83" i="19"/>
  <c r="P73" i="19"/>
  <c r="S74" i="19"/>
  <c r="S36" i="19"/>
  <c r="V60" i="19"/>
  <c r="AH88" i="19"/>
  <c r="AB83" i="19"/>
  <c r="AE97" i="19"/>
  <c r="V47" i="19"/>
  <c r="S14" i="19"/>
  <c r="S55" i="19"/>
  <c r="AB23" i="19"/>
  <c r="V25" i="19"/>
  <c r="AE98" i="19"/>
  <c r="AH50" i="19"/>
  <c r="AE48" i="19"/>
  <c r="P92" i="19"/>
  <c r="Y86" i="19"/>
  <c r="S16" i="19"/>
  <c r="S91" i="19"/>
  <c r="AH59" i="19"/>
  <c r="S65" i="19"/>
  <c r="AH94" i="19"/>
  <c r="AE41" i="19"/>
  <c r="AB30" i="19"/>
  <c r="AH82" i="19"/>
  <c r="AB43" i="19"/>
  <c r="Y45" i="19"/>
  <c r="AE45" i="19"/>
  <c r="P24" i="19"/>
  <c r="AE54" i="19"/>
  <c r="AE12" i="19"/>
  <c r="Y69" i="19"/>
  <c r="AB17" i="19"/>
  <c r="Y73" i="19"/>
  <c r="P79" i="19"/>
  <c r="S102" i="19"/>
  <c r="V68" i="19"/>
  <c r="AB46" i="19"/>
  <c r="P53" i="19"/>
  <c r="AE85" i="19"/>
  <c r="AH17" i="19"/>
  <c r="V66" i="19"/>
  <c r="S79" i="19"/>
  <c r="V19" i="19"/>
  <c r="S69" i="19"/>
  <c r="AE43" i="19"/>
  <c r="AH96" i="19"/>
  <c r="Y100" i="19"/>
  <c r="V26" i="19"/>
  <c r="V88" i="19"/>
  <c r="AB91" i="19"/>
  <c r="P20" i="19"/>
  <c r="Y97" i="19"/>
  <c r="AH69" i="19"/>
  <c r="S76" i="19"/>
  <c r="V55" i="19"/>
  <c r="AB39" i="19"/>
  <c r="P55" i="19"/>
  <c r="AE15" i="19"/>
  <c r="AH99" i="19"/>
  <c r="P89" i="19"/>
  <c r="S90" i="19"/>
  <c r="AB36" i="19"/>
  <c r="P38" i="19"/>
  <c r="AH33" i="19"/>
  <c r="S49" i="19"/>
  <c r="P15" i="19"/>
  <c r="AE57" i="19"/>
  <c r="S44" i="19"/>
  <c r="V80" i="19"/>
  <c r="P90" i="19"/>
  <c r="AH61" i="19"/>
  <c r="AB24" i="19"/>
  <c r="Y47" i="19"/>
  <c r="Y62" i="19"/>
  <c r="Y54" i="19"/>
  <c r="AB51" i="19"/>
  <c r="AB65" i="19"/>
  <c r="P57" i="19"/>
  <c r="P29" i="19"/>
  <c r="S70" i="19"/>
  <c r="AH78" i="19"/>
  <c r="S17" i="19"/>
  <c r="AE90" i="19"/>
  <c r="AE75" i="19"/>
  <c r="AB92" i="19"/>
  <c r="P40" i="19"/>
  <c r="AH102" i="19"/>
  <c r="AB48" i="19"/>
  <c r="AH40" i="19"/>
  <c r="AH51" i="19"/>
  <c r="Y48" i="19"/>
  <c r="AE50" i="19"/>
  <c r="AH45" i="19"/>
  <c r="V17" i="19"/>
  <c r="AB45" i="19"/>
  <c r="AE58" i="19"/>
  <c r="AB15" i="19"/>
  <c r="AE62" i="19"/>
  <c r="P72" i="19"/>
  <c r="AE18" i="19"/>
  <c r="S86" i="19"/>
  <c r="AB67" i="19"/>
  <c r="AE77" i="19"/>
  <c r="V50" i="19"/>
  <c r="S27" i="19"/>
  <c r="P17" i="19"/>
  <c r="S29" i="19"/>
  <c r="AB69" i="19"/>
  <c r="P84" i="19"/>
  <c r="Y31" i="19"/>
  <c r="AB77" i="19"/>
  <c r="AH90" i="19"/>
  <c r="AB34" i="19"/>
  <c r="AH55" i="19"/>
  <c r="P69" i="19"/>
  <c r="AE56" i="19"/>
  <c r="AE49" i="19"/>
  <c r="AB22" i="19"/>
  <c r="P100" i="19"/>
  <c r="Y85" i="19"/>
  <c r="V46" i="19"/>
  <c r="AB64" i="19"/>
  <c r="AE78" i="19"/>
  <c r="AB93" i="19"/>
  <c r="Y37" i="19"/>
  <c r="Y40" i="19"/>
  <c r="AH35" i="19"/>
  <c r="AE73" i="19"/>
  <c r="Y42" i="19"/>
  <c r="AE29" i="19"/>
  <c r="P30" i="19"/>
  <c r="Y36" i="19"/>
  <c r="AB58" i="19"/>
  <c r="AB44" i="19"/>
  <c r="Y52" i="19"/>
  <c r="Y61" i="19"/>
  <c r="AB14" i="19"/>
  <c r="S63" i="19"/>
  <c r="V44" i="19"/>
  <c r="AB60" i="19"/>
  <c r="P25" i="19"/>
  <c r="AH34" i="19"/>
  <c r="Y74" i="19"/>
  <c r="V18" i="19"/>
  <c r="V91" i="19"/>
  <c r="AB94" i="19"/>
  <c r="P44" i="19"/>
  <c r="Y91" i="19"/>
  <c r="AH72" i="19"/>
  <c r="S53" i="19"/>
  <c r="S94" i="19"/>
  <c r="V64" i="19"/>
  <c r="AB49" i="19"/>
  <c r="P21" i="19"/>
  <c r="AE81" i="19"/>
  <c r="AH25" i="19"/>
  <c r="S24" i="19"/>
  <c r="V31" i="19"/>
  <c r="S13" i="19"/>
  <c r="AE19" i="19"/>
  <c r="Y63" i="19"/>
  <c r="AE59" i="19"/>
  <c r="AE87" i="19"/>
  <c r="AB73" i="19"/>
  <c r="AB97" i="19"/>
  <c r="Y22" i="19"/>
  <c r="V29" i="19"/>
  <c r="AB80" i="19"/>
  <c r="AB42" i="19"/>
  <c r="AE91" i="19"/>
  <c r="V97" i="19"/>
  <c r="V102" i="19"/>
  <c r="Y79" i="19"/>
  <c r="AE31" i="19"/>
  <c r="AB76" i="19"/>
  <c r="V54" i="19"/>
  <c r="AE82" i="19"/>
  <c r="AB100" i="19"/>
  <c r="AE64" i="19"/>
  <c r="AB59" i="19"/>
  <c r="AH74" i="19"/>
  <c r="AB52" i="19"/>
  <c r="Y93" i="19"/>
  <c r="AE13" i="19"/>
  <c r="AB88" i="19"/>
  <c r="AB33" i="19"/>
  <c r="V77" i="19"/>
  <c r="Y102" i="19"/>
  <c r="AE95" i="19"/>
  <c r="V22" i="19"/>
  <c r="AH32" i="19"/>
  <c r="AH37" i="19"/>
  <c r="Y27" i="19"/>
  <c r="AE20" i="19"/>
  <c r="Y32" i="19"/>
  <c r="Y44" i="19"/>
  <c r="AB53" i="19"/>
  <c r="Y43" i="19"/>
  <c r="AH47" i="19"/>
  <c r="P56" i="19"/>
  <c r="S22" i="19"/>
  <c r="V36" i="19"/>
  <c r="AB61" i="19"/>
  <c r="Y13" i="19"/>
  <c r="AB101" i="19"/>
  <c r="V83" i="19"/>
  <c r="AB86" i="19"/>
  <c r="P96" i="19"/>
  <c r="AE100" i="19"/>
  <c r="AH64" i="19"/>
  <c r="S39" i="19"/>
  <c r="S78" i="19"/>
  <c r="V56" i="19"/>
  <c r="AB47" i="19"/>
  <c r="P59" i="19"/>
  <c r="AE14" i="19"/>
  <c r="AH41" i="19"/>
  <c r="S87" i="19"/>
  <c r="V23" i="19"/>
  <c r="P81" i="19"/>
  <c r="AE35" i="19"/>
  <c r="AH100" i="19"/>
  <c r="Y76" i="19"/>
  <c r="Y101" i="19"/>
  <c r="AB89" i="19"/>
  <c r="V21" i="19"/>
  <c r="AE55" i="19"/>
  <c r="AE99" i="19"/>
  <c r="AE25" i="19"/>
  <c r="AH91" i="19"/>
  <c r="P37" i="19"/>
  <c r="S42" i="19"/>
  <c r="Y15" i="19"/>
  <c r="V38" i="19"/>
  <c r="V49" i="19"/>
  <c r="AH86" i="19"/>
  <c r="S71" i="19"/>
  <c r="AH71" i="19"/>
  <c r="AE40" i="19"/>
  <c r="AH58" i="19"/>
  <c r="AB72" i="19"/>
  <c r="AE94" i="19"/>
  <c r="AE69" i="19"/>
  <c r="AB54" i="19"/>
  <c r="AE42" i="19"/>
  <c r="Y65" i="19"/>
  <c r="AH21" i="19"/>
  <c r="AB13" i="19"/>
  <c r="Y19" i="19"/>
  <c r="AE37" i="19"/>
  <c r="S97" i="19"/>
  <c r="AB87" i="19"/>
  <c r="Y82" i="19"/>
  <c r="V99" i="19"/>
  <c r="AB50" i="19"/>
  <c r="AE76" i="19"/>
  <c r="S48" i="19"/>
  <c r="S25" i="19"/>
  <c r="P68" i="19"/>
  <c r="AH42" i="19"/>
  <c r="S46" i="19"/>
  <c r="AB82" i="19"/>
  <c r="Y83" i="19"/>
  <c r="Y92" i="19"/>
  <c r="P102" i="19"/>
  <c r="S33" i="19"/>
  <c r="AE61" i="19"/>
  <c r="S38" i="19"/>
  <c r="P42" i="19"/>
  <c r="S61" i="19"/>
  <c r="Y55" i="19"/>
  <c r="P70" i="19"/>
  <c r="Y46" i="19"/>
  <c r="V24" i="19"/>
  <c r="P35" i="19"/>
  <c r="AH95" i="19"/>
  <c r="AH89" i="19"/>
  <c r="AB71" i="19"/>
  <c r="AH87" i="19"/>
  <c r="Y72" i="19"/>
  <c r="AE83" i="19"/>
  <c r="Y59" i="19"/>
  <c r="S31" i="19"/>
  <c r="V45" i="19"/>
  <c r="P39" i="19"/>
  <c r="V69" i="19"/>
  <c r="V78" i="19"/>
  <c r="V15" i="19"/>
  <c r="AH39" i="19"/>
  <c r="P34" i="19"/>
  <c r="S81" i="19"/>
  <c r="AB68" i="19"/>
  <c r="Y89" i="19"/>
  <c r="Y98" i="19"/>
  <c r="V75" i="19"/>
  <c r="AB57" i="19"/>
  <c r="S77" i="19"/>
  <c r="V72" i="19"/>
  <c r="P64" i="19"/>
  <c r="AE60" i="19"/>
  <c r="S68" i="19"/>
  <c r="AB74" i="19"/>
  <c r="Y99" i="19"/>
  <c r="Y78" i="19"/>
  <c r="AB31" i="19"/>
  <c r="S101" i="19"/>
  <c r="S66" i="19"/>
  <c r="S50" i="19"/>
  <c r="P36" i="19"/>
  <c r="AB20" i="19"/>
  <c r="V100" i="19"/>
  <c r="V59" i="19"/>
  <c r="V90" i="19"/>
  <c r="AH93" i="19"/>
  <c r="P75" i="19"/>
  <c r="V30" i="19"/>
  <c r="P77" i="19"/>
  <c r="AH92" i="19"/>
  <c r="AB55" i="19"/>
  <c r="AE39" i="19"/>
  <c r="S28" i="19"/>
  <c r="AH84" i="19"/>
  <c r="AE33" i="19"/>
  <c r="P60" i="19"/>
  <c r="AE102" i="19"/>
  <c r="Y23" i="19"/>
  <c r="AB85" i="19"/>
  <c r="V70" i="19"/>
  <c r="P76" i="19"/>
  <c r="S80" i="19"/>
  <c r="S60" i="19"/>
  <c r="AH22" i="19"/>
  <c r="AB70" i="19"/>
  <c r="Y26" i="19"/>
  <c r="AB62" i="19"/>
  <c r="AE30" i="19"/>
  <c r="S56" i="19"/>
  <c r="S26" i="19"/>
  <c r="AE101" i="19"/>
  <c r="S98" i="19"/>
  <c r="V67" i="19"/>
  <c r="P61" i="19"/>
  <c r="S41" i="19"/>
  <c r="V48" i="19"/>
  <c r="S35" i="19"/>
  <c r="AH101" i="19"/>
  <c r="S51" i="19"/>
  <c r="AB18" i="19"/>
  <c r="AE96" i="19"/>
  <c r="S19" i="19"/>
  <c r="AB96" i="19"/>
  <c r="AE86" i="19"/>
  <c r="S99" i="19"/>
  <c r="V101" i="19"/>
  <c r="AE63" i="19"/>
  <c r="AB19" i="19"/>
  <c r="AE38" i="19"/>
  <c r="AH27" i="19"/>
  <c r="AH18" i="19"/>
  <c r="S93" i="19"/>
  <c r="P80" i="19"/>
  <c r="V40" i="19"/>
  <c r="V95" i="19"/>
  <c r="AE88" i="19"/>
  <c r="V58" i="19"/>
  <c r="V79" i="19"/>
  <c r="AH67" i="19"/>
  <c r="Y67" i="19"/>
  <c r="P94" i="19"/>
  <c r="AH20" i="19"/>
  <c r="V12" i="19"/>
  <c r="Y39" i="19"/>
  <c r="AH43" i="19"/>
  <c r="AE22" i="19"/>
  <c r="Y35" i="19"/>
  <c r="AB27" i="19"/>
  <c r="AH23" i="19"/>
  <c r="P52" i="19"/>
  <c r="S52" i="19"/>
  <c r="V35" i="19"/>
  <c r="P23" i="19"/>
  <c r="Y17" i="19"/>
  <c r="V71" i="19"/>
  <c r="P74" i="19"/>
  <c r="V94" i="19"/>
  <c r="Y94" i="19"/>
  <c r="S57" i="19"/>
  <c r="Y87" i="19"/>
  <c r="Y70" i="19"/>
  <c r="S30" i="19"/>
  <c r="AH44" i="19"/>
  <c r="P46" i="19"/>
  <c r="AH28" i="19"/>
  <c r="Y95" i="19"/>
  <c r="AE71" i="19"/>
  <c r="S40" i="19"/>
  <c r="P91" i="19"/>
  <c r="AH53" i="19"/>
  <c r="AB12" i="19"/>
  <c r="AB29" i="19"/>
  <c r="V13" i="19"/>
  <c r="AH30" i="19"/>
  <c r="AB16" i="19"/>
  <c r="V92" i="19"/>
  <c r="P99" i="19"/>
  <c r="AE68" i="19"/>
  <c r="V98" i="19"/>
  <c r="V51" i="19"/>
  <c r="P45" i="19"/>
  <c r="AH80" i="19"/>
  <c r="V74" i="19"/>
  <c r="V32" i="19"/>
  <c r="P32" i="19"/>
  <c r="AH85" i="19"/>
  <c r="V87" i="19"/>
  <c r="AH15" i="19"/>
  <c r="V53" i="19"/>
  <c r="AE72" i="19"/>
  <c r="P86" i="19"/>
  <c r="S18" i="19"/>
  <c r="Y60" i="19"/>
  <c r="S88" i="19"/>
  <c r="S15" i="19"/>
  <c r="AE24" i="19"/>
  <c r="AH48" i="19"/>
  <c r="AE52" i="19"/>
  <c r="AE53" i="19"/>
  <c r="AB37" i="19"/>
  <c r="Y28" i="19"/>
  <c r="V84" i="19"/>
  <c r="P65" i="19"/>
  <c r="AH97" i="19"/>
  <c r="V34" i="19"/>
  <c r="V43" i="19"/>
  <c r="P71" i="19"/>
  <c r="AH56" i="19"/>
  <c r="AH13" i="19"/>
  <c r="V73" i="19"/>
  <c r="P97" i="19"/>
  <c r="AE44" i="19"/>
  <c r="V52" i="19"/>
  <c r="S12" i="19"/>
  <c r="AE16" i="19"/>
  <c r="V57" i="19"/>
  <c r="V81" i="19"/>
  <c r="S43" i="19"/>
  <c r="Y80" i="19"/>
  <c r="Y57" i="19"/>
  <c r="P33" i="19"/>
  <c r="Y56" i="19"/>
  <c r="AB78" i="19"/>
  <c r="AE67" i="19"/>
  <c r="Y33" i="19"/>
  <c r="S34" i="19"/>
  <c r="Y18" i="19"/>
  <c r="AB38" i="19"/>
  <c r="S82" i="19"/>
  <c r="AB98" i="19"/>
  <c r="Y68" i="19"/>
  <c r="Y96" i="19"/>
  <c r="V65" i="19"/>
  <c r="AH75" i="19"/>
  <c r="S62" i="19"/>
  <c r="AH73" i="19"/>
  <c r="AB63" i="19"/>
  <c r="S37" i="19"/>
  <c r="Y64" i="19"/>
  <c r="AB90" i="19"/>
  <c r="AH36" i="19"/>
  <c r="P101" i="19"/>
  <c r="S54" i="19"/>
  <c r="Y16" i="19"/>
  <c r="P16" i="19"/>
  <c r="AE21" i="19"/>
  <c r="V20" i="19"/>
  <c r="AH26" i="19"/>
  <c r="P66" i="19"/>
  <c r="P48" i="19"/>
  <c r="AB21" i="19"/>
  <c r="P13" i="19"/>
  <c r="Y66" i="19"/>
  <c r="Y14" i="19"/>
  <c r="S89" i="19"/>
  <c r="P85" i="19"/>
  <c r="P62" i="19"/>
  <c r="Y88" i="19"/>
  <c r="P58" i="19"/>
  <c r="P19" i="19"/>
  <c r="AH31" i="19"/>
  <c r="P95" i="19"/>
  <c r="S73" i="19"/>
  <c r="Y75" i="19"/>
  <c r="AE51" i="19"/>
  <c r="S83" i="19"/>
  <c r="AH16" i="19"/>
  <c r="V33" i="19"/>
  <c r="AH29" i="19"/>
  <c r="AE66" i="19"/>
  <c r="AB95" i="19"/>
  <c r="S84" i="19"/>
  <c r="AE74" i="19"/>
  <c r="AB81" i="19"/>
  <c r="AE79" i="19"/>
  <c r="V61" i="19"/>
  <c r="AH24" i="19"/>
  <c r="P98" i="19"/>
  <c r="S58" i="19"/>
  <c r="AE84" i="19"/>
  <c r="AB75" i="19"/>
  <c r="Y90" i="19"/>
  <c r="AH76" i="19"/>
  <c r="V41" i="19"/>
  <c r="P49" i="19"/>
  <c r="V89" i="19"/>
  <c r="AE23" i="19"/>
  <c r="AH46" i="19"/>
  <c r="P31" i="19"/>
  <c r="S59" i="19"/>
  <c r="AB32" i="19"/>
  <c r="S20" i="19"/>
  <c r="AH68" i="19"/>
  <c r="V62" i="19"/>
  <c r="S64" i="19"/>
  <c r="V37" i="19"/>
  <c r="AH38" i="19"/>
  <c r="AH81" i="19"/>
  <c r="Y49" i="19"/>
  <c r="Y20" i="19"/>
  <c r="AH52" i="19"/>
  <c r="AB56" i="19"/>
  <c r="P88" i="19"/>
  <c r="AE36" i="19"/>
  <c r="S32" i="19"/>
  <c r="S21" i="19"/>
  <c r="S100" i="19"/>
  <c r="AE65" i="19"/>
  <c r="AE70" i="19"/>
  <c r="AE34" i="19"/>
  <c r="V86" i="19"/>
  <c r="P18" i="19"/>
  <c r="AH65" i="19"/>
  <c r="P93" i="19"/>
  <c r="P63" i="19"/>
  <c r="P41" i="19"/>
  <c r="P78" i="19"/>
  <c r="S72" i="19"/>
  <c r="AE92" i="19"/>
  <c r="Y30" i="19"/>
  <c r="AE26" i="19"/>
  <c r="AH70" i="19"/>
  <c r="S85" i="19"/>
  <c r="AH79" i="19"/>
  <c r="Y21" i="19"/>
  <c r="Y24" i="19"/>
  <c r="AB66" i="19"/>
  <c r="Y25" i="19"/>
  <c r="S67" i="19"/>
  <c r="AB26" i="19"/>
  <c r="V39" i="19"/>
  <c r="AH60" i="19"/>
  <c r="V85" i="19"/>
  <c r="P27" i="19"/>
  <c r="AB84" i="19"/>
  <c r="S96" i="19"/>
  <c r="AH12" i="19"/>
  <c r="V14" i="19"/>
  <c r="P22" i="19"/>
  <c r="AE46" i="19"/>
  <c r="Y41" i="19"/>
  <c r="AB102" i="19"/>
  <c r="AB35" i="19"/>
  <c r="S23" i="19"/>
  <c r="AH14" i="19"/>
  <c r="V28" i="19"/>
  <c r="AE89" i="19"/>
  <c r="S75" i="19"/>
  <c r="AH49" i="19"/>
  <c r="P47" i="19"/>
  <c r="Y34" i="19"/>
  <c r="Y58" i="19"/>
  <c r="Y29" i="19"/>
  <c r="P26" i="19"/>
  <c r="Y51" i="19"/>
  <c r="AH62" i="19"/>
  <c r="J82" i="19" l="1"/>
  <c r="J94" i="19"/>
  <c r="J73" i="19"/>
  <c r="J83" i="19"/>
  <c r="J95" i="19"/>
  <c r="J85" i="19"/>
  <c r="J72" i="19"/>
  <c r="J84" i="19"/>
  <c r="J96" i="19"/>
  <c r="J97" i="19"/>
  <c r="J74" i="19"/>
  <c r="J86" i="19"/>
  <c r="J98" i="19"/>
  <c r="J75" i="19"/>
  <c r="J87" i="19"/>
  <c r="J99" i="19"/>
  <c r="J93" i="19"/>
  <c r="J76" i="19"/>
  <c r="J88" i="19"/>
  <c r="J100" i="19"/>
  <c r="J81" i="19"/>
  <c r="J77" i="19"/>
  <c r="J89" i="19"/>
  <c r="J101" i="19"/>
  <c r="J78" i="19"/>
  <c r="J90" i="19"/>
  <c r="J102" i="19"/>
  <c r="J79" i="19"/>
  <c r="J91" i="19"/>
  <c r="J80" i="19"/>
  <c r="J92" i="19"/>
  <c r="M9" i="19"/>
  <c r="M72" i="19"/>
  <c r="M84" i="19"/>
  <c r="M96" i="19"/>
  <c r="G77" i="19"/>
  <c r="G89" i="19"/>
  <c r="G101" i="19"/>
  <c r="M99" i="19"/>
  <c r="M73" i="19"/>
  <c r="M85" i="19"/>
  <c r="M97" i="19"/>
  <c r="G78" i="19"/>
  <c r="G90" i="19"/>
  <c r="G102" i="19"/>
  <c r="D102" i="19" s="1"/>
  <c r="M75" i="19"/>
  <c r="G80" i="19"/>
  <c r="M74" i="19"/>
  <c r="M86" i="19"/>
  <c r="M98" i="19"/>
  <c r="G79" i="19"/>
  <c r="G91" i="19"/>
  <c r="M87" i="19"/>
  <c r="G92" i="19"/>
  <c r="M76" i="19"/>
  <c r="M88" i="19"/>
  <c r="M100" i="19"/>
  <c r="G81" i="19"/>
  <c r="G93" i="19"/>
  <c r="D93" i="19" s="1"/>
  <c r="M77" i="19"/>
  <c r="M89" i="19"/>
  <c r="M101" i="19"/>
  <c r="G82" i="19"/>
  <c r="G94" i="19"/>
  <c r="M78" i="19"/>
  <c r="M90" i="19"/>
  <c r="M102" i="19"/>
  <c r="G83" i="19"/>
  <c r="G95" i="19"/>
  <c r="M79" i="19"/>
  <c r="D79" i="19" s="1"/>
  <c r="M91" i="19"/>
  <c r="G72" i="19"/>
  <c r="D72" i="19" s="1"/>
  <c r="G84" i="19"/>
  <c r="G96" i="19"/>
  <c r="M80" i="19"/>
  <c r="M92" i="19"/>
  <c r="G73" i="19"/>
  <c r="G85" i="19"/>
  <c r="D85" i="19" s="1"/>
  <c r="G97" i="19"/>
  <c r="M83" i="19"/>
  <c r="M81" i="19"/>
  <c r="M93" i="19"/>
  <c r="G74" i="19"/>
  <c r="G86" i="19"/>
  <c r="G98" i="19"/>
  <c r="M95" i="19"/>
  <c r="G88" i="19"/>
  <c r="M82" i="19"/>
  <c r="M94" i="19"/>
  <c r="G75" i="19"/>
  <c r="G87" i="19"/>
  <c r="G99" i="19"/>
  <c r="D99" i="19" s="1"/>
  <c r="G76" i="19"/>
  <c r="D76" i="19" s="1"/>
  <c r="G100" i="19"/>
  <c r="D86" i="19" l="1"/>
  <c r="D83" i="19"/>
  <c r="D97" i="19"/>
  <c r="D75" i="19"/>
  <c r="D88" i="19"/>
  <c r="D95" i="19"/>
  <c r="D84" i="19"/>
  <c r="D80" i="19"/>
  <c r="D90" i="19"/>
  <c r="D81" i="19"/>
  <c r="D100" i="19"/>
  <c r="D78" i="19"/>
  <c r="D74" i="19"/>
  <c r="D94" i="19"/>
  <c r="D73" i="19"/>
  <c r="D82" i="19"/>
  <c r="D92" i="19"/>
  <c r="D91" i="19"/>
  <c r="D87" i="19"/>
  <c r="D101" i="19"/>
  <c r="D98" i="19"/>
  <c r="D89" i="19"/>
  <c r="D96" i="19"/>
  <c r="D77" i="19"/>
  <c r="O221" i="14" l="1"/>
  <c r="O188" i="16"/>
  <c r="O184" i="16"/>
  <c r="O176" i="16"/>
  <c r="O124" i="16"/>
  <c r="O94" i="16"/>
  <c r="O92" i="16"/>
  <c r="O80" i="16"/>
  <c r="O64" i="16"/>
  <c r="O40" i="16"/>
  <c r="O119" i="16"/>
  <c r="O529" i="16"/>
  <c r="O521" i="16"/>
  <c r="O515" i="16"/>
  <c r="O513" i="16"/>
  <c r="O509" i="16"/>
  <c r="O503" i="16"/>
  <c r="O496" i="16"/>
  <c r="O493" i="16"/>
  <c r="O492" i="16"/>
  <c r="O491" i="16"/>
  <c r="P22" i="17"/>
  <c r="N73" i="20" s="1"/>
  <c r="O73" i="20" s="1"/>
  <c r="P26" i="17"/>
  <c r="P25" i="17"/>
  <c r="P24" i="17"/>
  <c r="N72" i="20" s="1"/>
  <c r="O72" i="20" s="1"/>
  <c r="P23" i="17"/>
  <c r="O42" i="16"/>
  <c r="O83" i="16"/>
  <c r="O203" i="16"/>
  <c r="O25" i="14"/>
  <c r="O27" i="14"/>
  <c r="O28" i="14"/>
  <c r="O31" i="14"/>
  <c r="O33" i="14"/>
  <c r="O34" i="14"/>
  <c r="O37" i="14"/>
  <c r="O39" i="14"/>
  <c r="O40" i="14"/>
  <c r="O43" i="14"/>
  <c r="O45" i="14"/>
  <c r="O46" i="14"/>
  <c r="O48" i="14"/>
  <c r="O49" i="14"/>
  <c r="O51" i="14"/>
  <c r="O52" i="14"/>
  <c r="O55" i="14"/>
  <c r="O57" i="14"/>
  <c r="O58" i="14"/>
  <c r="O61" i="14"/>
  <c r="O63" i="14"/>
  <c r="O64" i="14"/>
  <c r="O67" i="14"/>
  <c r="O69" i="14"/>
  <c r="O70" i="14"/>
  <c r="O73" i="14"/>
  <c r="O75" i="14"/>
  <c r="O76" i="14"/>
  <c r="O79" i="14"/>
  <c r="O81" i="14"/>
  <c r="O82" i="14"/>
  <c r="O85" i="14"/>
  <c r="O87" i="14"/>
  <c r="O88" i="14"/>
  <c r="O90" i="14"/>
  <c r="O91" i="14"/>
  <c r="O93" i="14"/>
  <c r="O94" i="14"/>
  <c r="O97" i="14"/>
  <c r="O99" i="14"/>
  <c r="O100" i="14"/>
  <c r="O103" i="14"/>
  <c r="O105" i="14"/>
  <c r="O106" i="14"/>
  <c r="O109" i="14"/>
  <c r="O111" i="14"/>
  <c r="O112" i="14"/>
  <c r="O115" i="14"/>
  <c r="O117" i="14"/>
  <c r="O118" i="14"/>
  <c r="O120" i="14"/>
  <c r="O121" i="14"/>
  <c r="O123" i="14"/>
  <c r="O124" i="14"/>
  <c r="O127" i="14"/>
  <c r="O129" i="14"/>
  <c r="O130" i="14"/>
  <c r="O133" i="14"/>
  <c r="O135" i="14"/>
  <c r="O136" i="14"/>
  <c r="O139" i="14"/>
  <c r="O141" i="14"/>
  <c r="O142" i="14"/>
  <c r="O145" i="14"/>
  <c r="O147" i="14"/>
  <c r="O148" i="14"/>
  <c r="O151" i="14"/>
  <c r="O153" i="14"/>
  <c r="O154" i="14"/>
  <c r="O157" i="14"/>
  <c r="O159" i="14"/>
  <c r="O160" i="14"/>
  <c r="O162" i="14"/>
  <c r="O163" i="14"/>
  <c r="O165" i="14"/>
  <c r="O166" i="14"/>
  <c r="O169" i="14"/>
  <c r="O171" i="14"/>
  <c r="O172" i="14"/>
  <c r="O175" i="14"/>
  <c r="O177" i="14"/>
  <c r="O178" i="14"/>
  <c r="O181" i="14"/>
  <c r="O183" i="14"/>
  <c r="O184" i="14"/>
  <c r="O187" i="14"/>
  <c r="O189" i="14"/>
  <c r="O190" i="14"/>
  <c r="O192" i="14"/>
  <c r="O193" i="14"/>
  <c r="O195" i="14"/>
  <c r="O196" i="14"/>
  <c r="O199" i="14"/>
  <c r="O201" i="14"/>
  <c r="O202" i="14"/>
  <c r="O205" i="14"/>
  <c r="O207" i="14"/>
  <c r="O208" i="14"/>
  <c r="O211" i="14"/>
  <c r="O213" i="14"/>
  <c r="O214" i="14"/>
  <c r="O217" i="14"/>
  <c r="O219" i="14"/>
  <c r="O220" i="14"/>
  <c r="O223" i="14"/>
  <c r="O225" i="14"/>
  <c r="O226" i="14"/>
  <c r="O229" i="14"/>
  <c r="O231" i="14"/>
  <c r="O232" i="14"/>
  <c r="O234" i="14"/>
  <c r="O235" i="14"/>
  <c r="O237" i="14"/>
  <c r="O238" i="14"/>
  <c r="N70" i="20" l="1"/>
  <c r="O70" i="20" s="1"/>
  <c r="O531" i="16"/>
  <c r="O145" i="16"/>
  <c r="O514" i="16"/>
  <c r="O518" i="16"/>
  <c r="O483" i="16"/>
  <c r="O186" i="16"/>
  <c r="O481" i="16"/>
  <c r="O73" i="16"/>
  <c r="O97" i="16"/>
  <c r="O38" i="14"/>
  <c r="O110" i="14"/>
  <c r="O182" i="14"/>
  <c r="O61" i="16"/>
  <c r="O85" i="16"/>
  <c r="O133" i="16"/>
  <c r="O157" i="16"/>
  <c r="O25" i="16"/>
  <c r="O169" i="16"/>
  <c r="O193" i="16"/>
  <c r="O46" i="16"/>
  <c r="O166" i="16"/>
  <c r="O23" i="14"/>
  <c r="O29" i="14"/>
  <c r="O35" i="14"/>
  <c r="O41" i="14"/>
  <c r="O47" i="14"/>
  <c r="O53" i="14"/>
  <c r="O59" i="14"/>
  <c r="O65" i="14"/>
  <c r="O71" i="14"/>
  <c r="O77" i="14"/>
  <c r="O83" i="14"/>
  <c r="O89" i="14"/>
  <c r="O95" i="14"/>
  <c r="O101" i="14"/>
  <c r="O107" i="14"/>
  <c r="O113" i="14"/>
  <c r="O119" i="14"/>
  <c r="O167" i="14"/>
  <c r="O173" i="14"/>
  <c r="O179" i="14"/>
  <c r="O233" i="14"/>
  <c r="O239" i="14"/>
  <c r="O165" i="16"/>
  <c r="O520" i="16"/>
  <c r="O204" i="14"/>
  <c r="O132" i="14"/>
  <c r="O60" i="14"/>
  <c r="O495" i="16"/>
  <c r="O506" i="16"/>
  <c r="O190" i="16"/>
  <c r="O27" i="16"/>
  <c r="O39" i="16"/>
  <c r="O51" i="16"/>
  <c r="O63" i="16"/>
  <c r="O75" i="16"/>
  <c r="O87" i="16"/>
  <c r="O99" i="16"/>
  <c r="O111" i="16"/>
  <c r="O123" i="16"/>
  <c r="O135" i="16"/>
  <c r="O147" i="16"/>
  <c r="O159" i="16"/>
  <c r="O171" i="16"/>
  <c r="O183" i="16"/>
  <c r="O195" i="16"/>
  <c r="O207" i="16"/>
  <c r="O30" i="14"/>
  <c r="O484" i="16"/>
  <c r="O174" i="14"/>
  <c r="O102" i="14"/>
  <c r="O216" i="14"/>
  <c r="O144" i="14"/>
  <c r="O72" i="14"/>
  <c r="O488" i="16"/>
  <c r="O499" i="16"/>
  <c r="O525" i="16"/>
  <c r="O114" i="14"/>
  <c r="O228" i="14"/>
  <c r="O156" i="14"/>
  <c r="O84" i="14"/>
  <c r="O125" i="14"/>
  <c r="O131" i="14"/>
  <c r="O137" i="14"/>
  <c r="O143" i="14"/>
  <c r="O149" i="14"/>
  <c r="O155" i="14"/>
  <c r="O161" i="14"/>
  <c r="O185" i="14"/>
  <c r="O191" i="14"/>
  <c r="O197" i="14"/>
  <c r="O203" i="14"/>
  <c r="O209" i="14"/>
  <c r="O215" i="14"/>
  <c r="O227" i="14"/>
  <c r="O186" i="14"/>
  <c r="O198" i="14"/>
  <c r="O126" i="14"/>
  <c r="O54" i="14"/>
  <c r="O489" i="16"/>
  <c r="O500" i="16"/>
  <c r="O522" i="16"/>
  <c r="O533" i="16"/>
  <c r="O42" i="14"/>
  <c r="O96" i="14"/>
  <c r="O526" i="16"/>
  <c r="O168" i="14"/>
  <c r="O24" i="14"/>
  <c r="O210" i="14"/>
  <c r="O138" i="14"/>
  <c r="O66" i="14"/>
  <c r="O482" i="16"/>
  <c r="O508" i="16"/>
  <c r="O519" i="16"/>
  <c r="O530" i="16"/>
  <c r="O240" i="14"/>
  <c r="O180" i="14"/>
  <c r="O108" i="14"/>
  <c r="O36" i="14"/>
  <c r="O486" i="16"/>
  <c r="O490" i="16"/>
  <c r="O501" i="16"/>
  <c r="O523" i="16"/>
  <c r="O71" i="16"/>
  <c r="O222" i="14"/>
  <c r="O150" i="14"/>
  <c r="O78" i="14"/>
  <c r="O174" i="16"/>
  <c r="O66" i="16"/>
  <c r="O511" i="16"/>
  <c r="O32" i="16"/>
  <c r="O44" i="16"/>
  <c r="O56" i="16"/>
  <c r="O68" i="16"/>
  <c r="O104" i="16"/>
  <c r="O116" i="16"/>
  <c r="O128" i="16"/>
  <c r="O140" i="16"/>
  <c r="O152" i="16"/>
  <c r="O164" i="16"/>
  <c r="O200" i="16"/>
  <c r="O138" i="16"/>
  <c r="O210" i="16"/>
  <c r="O181" i="16"/>
  <c r="O198" i="16"/>
  <c r="O505" i="16"/>
  <c r="O512" i="16"/>
  <c r="O205" i="16"/>
  <c r="O54" i="16"/>
  <c r="O485" i="16"/>
  <c r="O502" i="16"/>
  <c r="O516" i="16"/>
  <c r="O532" i="16"/>
  <c r="O102" i="16"/>
  <c r="O90" i="16"/>
  <c r="O162" i="16"/>
  <c r="O126" i="16"/>
  <c r="O114" i="16"/>
  <c r="O78" i="16"/>
  <c r="O504" i="16"/>
  <c r="O510" i="16"/>
  <c r="O534" i="16"/>
  <c r="O121" i="16"/>
  <c r="O150" i="16"/>
  <c r="O30" i="16"/>
  <c r="O487" i="16"/>
  <c r="O494" i="16"/>
  <c r="O497" i="16"/>
  <c r="O507" i="16"/>
  <c r="O517" i="16"/>
  <c r="O524" i="16"/>
  <c r="O527" i="16"/>
  <c r="O109" i="16"/>
  <c r="O498" i="16"/>
  <c r="O528" i="16"/>
  <c r="O80" i="14"/>
  <c r="O194" i="14"/>
  <c r="O122" i="14"/>
  <c r="O50" i="14"/>
  <c r="O236" i="14"/>
  <c r="O164" i="14"/>
  <c r="O92" i="14"/>
  <c r="O206" i="14"/>
  <c r="O134" i="14"/>
  <c r="O62" i="14"/>
  <c r="O176" i="14"/>
  <c r="O104" i="14"/>
  <c r="O32" i="14"/>
  <c r="O218" i="14"/>
  <c r="O146" i="14"/>
  <c r="O74" i="14"/>
  <c r="O188" i="14"/>
  <c r="O116" i="14"/>
  <c r="O44" i="14"/>
  <c r="O224" i="14"/>
  <c r="O230" i="14"/>
  <c r="O158" i="14"/>
  <c r="O86" i="14"/>
  <c r="O200" i="14"/>
  <c r="O128" i="14"/>
  <c r="O56" i="14"/>
  <c r="O170" i="14"/>
  <c r="O98" i="14"/>
  <c r="O26" i="14"/>
  <c r="O152" i="14"/>
  <c r="O212" i="14"/>
  <c r="O140" i="14"/>
  <c r="O68" i="14"/>
  <c r="O49" i="16"/>
  <c r="O37" i="16"/>
  <c r="O120" i="16"/>
  <c r="O72" i="16"/>
  <c r="O24" i="16"/>
  <c r="O132" i="16"/>
  <c r="O204" i="16"/>
  <c r="O84" i="16"/>
  <c r="O36" i="16"/>
  <c r="O209" i="16"/>
  <c r="O144" i="16"/>
  <c r="O96" i="16"/>
  <c r="O197" i="16"/>
  <c r="O48" i="16"/>
  <c r="O156" i="16"/>
  <c r="O137" i="16"/>
  <c r="O108" i="16"/>
  <c r="O168" i="16"/>
  <c r="O180" i="16"/>
  <c r="O125" i="16"/>
  <c r="O60" i="16"/>
  <c r="O82" i="16"/>
  <c r="O154" i="16"/>
  <c r="O118" i="16"/>
  <c r="O172" i="16"/>
  <c r="O28" i="16"/>
  <c r="O189" i="16"/>
  <c r="O88" i="16"/>
  <c r="O107" i="16"/>
  <c r="O129" i="16"/>
  <c r="O45" i="16"/>
  <c r="O59" i="16"/>
  <c r="O100" i="16"/>
  <c r="O208" i="16"/>
  <c r="O167" i="16"/>
  <c r="O148" i="16"/>
  <c r="O23" i="16"/>
  <c r="O201" i="16"/>
  <c r="O160" i="16"/>
  <c r="O35" i="16"/>
  <c r="O179" i="16"/>
  <c r="O117" i="16"/>
  <c r="O57" i="16"/>
  <c r="O131" i="16"/>
  <c r="O95" i="16"/>
  <c r="O76" i="16"/>
  <c r="O191" i="16"/>
  <c r="O196" i="16"/>
  <c r="O155" i="16"/>
  <c r="O93" i="16"/>
  <c r="O47" i="16"/>
  <c r="O136" i="16"/>
  <c r="O112" i="16"/>
  <c r="O52" i="16"/>
  <c r="O143" i="16"/>
  <c r="O192" i="16"/>
  <c r="O185" i="16"/>
  <c r="O113" i="16"/>
  <c r="O41" i="16"/>
  <c r="O177" i="16"/>
  <c r="O105" i="16"/>
  <c r="O33" i="16"/>
  <c r="O178" i="16"/>
  <c r="O106" i="16"/>
  <c r="O34" i="16"/>
  <c r="O173" i="16"/>
  <c r="O101" i="16"/>
  <c r="O29" i="16"/>
  <c r="O161" i="16"/>
  <c r="O89" i="16"/>
  <c r="O149" i="16"/>
  <c r="O77" i="16"/>
  <c r="O141" i="16"/>
  <c r="O69" i="16"/>
  <c r="O142" i="16"/>
  <c r="O70" i="16"/>
  <c r="O65" i="16"/>
  <c r="O153" i="16"/>
  <c r="O81" i="16"/>
  <c r="O202" i="16"/>
  <c r="O130" i="16"/>
  <c r="O58" i="16"/>
  <c r="O53" i="16"/>
  <c r="O206" i="16"/>
  <c r="O194" i="16"/>
  <c r="O182" i="16"/>
  <c r="O170" i="16"/>
  <c r="O158" i="16"/>
  <c r="O146" i="16"/>
  <c r="O134" i="16"/>
  <c r="O122" i="16"/>
  <c r="O110" i="16"/>
  <c r="O98" i="16"/>
  <c r="O86" i="16"/>
  <c r="O74" i="16"/>
  <c r="O62" i="16"/>
  <c r="O50" i="16"/>
  <c r="O38" i="16"/>
  <c r="O26" i="16"/>
  <c r="O199" i="16"/>
  <c r="O187" i="16"/>
  <c r="O175" i="16"/>
  <c r="O163" i="16"/>
  <c r="O151" i="16"/>
  <c r="O139" i="16"/>
  <c r="O127" i="16"/>
  <c r="O115" i="16"/>
  <c r="O103" i="16"/>
  <c r="O91" i="16"/>
  <c r="O79" i="16"/>
  <c r="O67" i="16"/>
  <c r="O55" i="16"/>
  <c r="O43" i="16"/>
  <c r="O31" i="16"/>
  <c r="O480" i="16"/>
  <c r="P28" i="17" l="1"/>
  <c r="P30" i="17" l="1"/>
  <c r="P32" i="17" l="1"/>
  <c r="P27" i="17"/>
  <c r="N87" i="20" s="1"/>
  <c r="O87" i="20" s="1"/>
  <c r="P29" i="17" l="1"/>
  <c r="N88" i="20" s="1"/>
  <c r="O88" i="20" s="1"/>
  <c r="P34" i="17"/>
  <c r="P31" i="17" l="1"/>
  <c r="N89" i="20" s="1"/>
  <c r="O89" i="20" s="1"/>
  <c r="P36" i="17"/>
  <c r="P33" i="17" l="1"/>
  <c r="N90" i="20" s="1"/>
  <c r="O90" i="20" s="1"/>
  <c r="P38" i="17"/>
  <c r="P35" i="17" l="1"/>
  <c r="N91" i="20" s="1"/>
  <c r="O91" i="20" s="1"/>
  <c r="P40" i="17"/>
  <c r="P37" i="17" l="1"/>
  <c r="N92" i="20" s="1"/>
  <c r="O92" i="20" s="1"/>
  <c r="P42" i="17"/>
  <c r="P39" i="17" l="1"/>
  <c r="N93" i="20" s="1"/>
  <c r="O93" i="20" s="1"/>
  <c r="P44" i="17"/>
  <c r="P41" i="17" l="1"/>
  <c r="N94" i="20" s="1"/>
  <c r="O94" i="20" s="1"/>
  <c r="P46" i="17"/>
  <c r="P43" i="17" l="1"/>
  <c r="N95" i="20" s="1"/>
  <c r="O95" i="20" s="1"/>
  <c r="P48" i="17"/>
  <c r="P45" i="17" l="1"/>
  <c r="N96" i="20" s="1"/>
  <c r="O96" i="20" s="1"/>
  <c r="P50" i="17"/>
  <c r="P47" i="17" l="1"/>
  <c r="N97" i="20" s="1"/>
  <c r="O97" i="20" s="1"/>
  <c r="P49" i="17" l="1"/>
  <c r="N98" i="20" s="1"/>
  <c r="O98" i="20" s="1"/>
  <c r="O29" i="20" s="1"/>
  <c r="K20" i="20" l="1"/>
  <c r="D42" i="26" l="1"/>
  <c r="O22" i="14"/>
  <c r="D33" i="26" l="1"/>
  <c r="D25" i="26"/>
  <c r="D26" i="26"/>
  <c r="D35" i="26"/>
  <c r="D22" i="26"/>
  <c r="D28" i="26"/>
  <c r="D27" i="26"/>
  <c r="D40" i="26"/>
  <c r="D32" i="26"/>
  <c r="D24" i="26"/>
  <c r="D36" i="26"/>
  <c r="D39" i="26"/>
  <c r="D31" i="26"/>
  <c r="D38" i="26"/>
  <c r="D30" i="26"/>
  <c r="D41" i="26"/>
  <c r="D34" i="26"/>
  <c r="D37" i="26"/>
  <c r="D23" i="26"/>
  <c r="D29" i="26"/>
  <c r="M14" i="19" l="1"/>
  <c r="G12" i="19"/>
  <c r="J12" i="19"/>
  <c r="M12" i="19"/>
  <c r="G13" i="19"/>
  <c r="J13" i="19"/>
  <c r="M13" i="19"/>
  <c r="G14" i="19"/>
  <c r="J14" i="19"/>
  <c r="G15" i="19"/>
  <c r="J15" i="19"/>
  <c r="M15" i="19"/>
  <c r="G16" i="19"/>
  <c r="J16" i="19"/>
  <c r="M16" i="19"/>
  <c r="G17" i="19"/>
  <c r="J17" i="19"/>
  <c r="M17" i="19"/>
  <c r="G18" i="19"/>
  <c r="J18" i="19"/>
  <c r="M18" i="19"/>
  <c r="G19" i="19"/>
  <c r="J19" i="19"/>
  <c r="M19" i="19"/>
  <c r="G20" i="19"/>
  <c r="J20" i="19"/>
  <c r="M20" i="19"/>
  <c r="G21" i="19"/>
  <c r="J21" i="19"/>
  <c r="M21" i="19"/>
  <c r="G22" i="19"/>
  <c r="J22" i="19"/>
  <c r="M22" i="19"/>
  <c r="G23" i="19"/>
  <c r="J23" i="19"/>
  <c r="M23" i="19"/>
  <c r="G24" i="19"/>
  <c r="J24" i="19"/>
  <c r="M24" i="19"/>
  <c r="G25" i="19"/>
  <c r="J25" i="19"/>
  <c r="M25" i="19"/>
  <c r="G26" i="19"/>
  <c r="J26" i="19"/>
  <c r="M26" i="19"/>
  <c r="G27" i="19"/>
  <c r="J27" i="19"/>
  <c r="M27" i="19"/>
  <c r="G28" i="19"/>
  <c r="J28" i="19"/>
  <c r="M28" i="19"/>
  <c r="G29" i="19"/>
  <c r="J29" i="19"/>
  <c r="M29" i="19"/>
  <c r="G30" i="19"/>
  <c r="J30" i="19"/>
  <c r="M30" i="19"/>
  <c r="G31" i="19"/>
  <c r="J31" i="19"/>
  <c r="M31" i="19"/>
  <c r="G32" i="19"/>
  <c r="J32" i="19"/>
  <c r="M32" i="19"/>
  <c r="G33" i="19"/>
  <c r="J33" i="19"/>
  <c r="M33" i="19"/>
  <c r="G34" i="19"/>
  <c r="J34" i="19"/>
  <c r="M34" i="19"/>
  <c r="G35" i="19"/>
  <c r="J35" i="19"/>
  <c r="M35" i="19"/>
  <c r="G36" i="19"/>
  <c r="J36" i="19"/>
  <c r="M36" i="19"/>
  <c r="G37" i="19"/>
  <c r="J37" i="19"/>
  <c r="M37" i="19"/>
  <c r="G38" i="19"/>
  <c r="J38" i="19"/>
  <c r="M38" i="19"/>
  <c r="G39" i="19"/>
  <c r="J39" i="19"/>
  <c r="M39" i="19"/>
  <c r="G40" i="19"/>
  <c r="J40" i="19"/>
  <c r="M40" i="19"/>
  <c r="G41" i="19"/>
  <c r="J41" i="19"/>
  <c r="M41" i="19"/>
  <c r="G42" i="19"/>
  <c r="J42" i="19"/>
  <c r="M42" i="19"/>
  <c r="G43" i="19"/>
  <c r="J43" i="19"/>
  <c r="M43" i="19"/>
  <c r="G44" i="19"/>
  <c r="J44" i="19"/>
  <c r="M44" i="19"/>
  <c r="G45" i="19"/>
  <c r="J45" i="19"/>
  <c r="M45" i="19"/>
  <c r="G46" i="19"/>
  <c r="J46" i="19"/>
  <c r="M46" i="19"/>
  <c r="G47" i="19"/>
  <c r="J47" i="19"/>
  <c r="M47" i="19"/>
  <c r="G48" i="19"/>
  <c r="J48" i="19"/>
  <c r="M48" i="19"/>
  <c r="G49" i="19"/>
  <c r="J49" i="19"/>
  <c r="M49" i="19"/>
  <c r="G50" i="19"/>
  <c r="J50" i="19"/>
  <c r="M50" i="19"/>
  <c r="G51" i="19"/>
  <c r="J51" i="19"/>
  <c r="M51" i="19"/>
  <c r="G52" i="19"/>
  <c r="J52" i="19"/>
  <c r="M52" i="19"/>
  <c r="G53" i="19"/>
  <c r="J53" i="19"/>
  <c r="M53" i="19"/>
  <c r="G54" i="19"/>
  <c r="J54" i="19"/>
  <c r="M54" i="19"/>
  <c r="G55" i="19"/>
  <c r="J55" i="19"/>
  <c r="M55" i="19"/>
  <c r="G56" i="19"/>
  <c r="J56" i="19"/>
  <c r="M56" i="19"/>
  <c r="G57" i="19"/>
  <c r="J57" i="19"/>
  <c r="M57" i="19"/>
  <c r="G58" i="19"/>
  <c r="J58" i="19"/>
  <c r="M58" i="19"/>
  <c r="G59" i="19"/>
  <c r="J59" i="19"/>
  <c r="M59" i="19"/>
  <c r="G60" i="19"/>
  <c r="J60" i="19"/>
  <c r="M60" i="19"/>
  <c r="G61" i="19"/>
  <c r="J61" i="19"/>
  <c r="M61" i="19"/>
  <c r="G62" i="19"/>
  <c r="J62" i="19"/>
  <c r="M62" i="19"/>
  <c r="G63" i="19"/>
  <c r="J63" i="19"/>
  <c r="M63" i="19"/>
  <c r="G64" i="19"/>
  <c r="J64" i="19"/>
  <c r="M64" i="19"/>
  <c r="G65" i="19"/>
  <c r="J65" i="19"/>
  <c r="M65" i="19"/>
  <c r="G66" i="19"/>
  <c r="J66" i="19"/>
  <c r="M66" i="19"/>
  <c r="G67" i="19"/>
  <c r="J67" i="19"/>
  <c r="M67" i="19"/>
  <c r="G68" i="19"/>
  <c r="J68" i="19"/>
  <c r="M68" i="19"/>
  <c r="G69" i="19"/>
  <c r="J69" i="19"/>
  <c r="M69" i="19"/>
  <c r="G70" i="19"/>
  <c r="J70" i="19"/>
  <c r="M70" i="19"/>
  <c r="G71" i="19"/>
  <c r="J71" i="19"/>
  <c r="M71" i="19"/>
  <c r="D71" i="19" l="1"/>
  <c r="E98" i="20" s="1"/>
  <c r="D55" i="19"/>
  <c r="E82" i="20" s="1"/>
  <c r="D47" i="19"/>
  <c r="E74" i="20" s="1"/>
  <c r="D39" i="19"/>
  <c r="E66" i="20" s="1"/>
  <c r="G66" i="20" s="1"/>
  <c r="D35" i="19"/>
  <c r="E62" i="20" s="1"/>
  <c r="G62" i="20" s="1"/>
  <c r="D31" i="19"/>
  <c r="E58" i="20" s="1"/>
  <c r="G58" i="20" s="1"/>
  <c r="D59" i="19"/>
  <c r="E86" i="20" s="1"/>
  <c r="D43" i="19"/>
  <c r="E70" i="20" s="1"/>
  <c r="D23" i="19"/>
  <c r="E50" i="20" s="1"/>
  <c r="G50" i="20" s="1"/>
  <c r="D51" i="19"/>
  <c r="E78" i="20" s="1"/>
  <c r="D13" i="19"/>
  <c r="E40" i="20" s="1"/>
  <c r="G40" i="20" s="1"/>
  <c r="D67" i="19"/>
  <c r="E94" i="20" s="1"/>
  <c r="D21" i="19"/>
  <c r="E48" i="20" s="1"/>
  <c r="G48" i="20" s="1"/>
  <c r="D63" i="19"/>
  <c r="D69" i="19"/>
  <c r="E96" i="20" s="1"/>
  <c r="D65" i="19"/>
  <c r="E92" i="20" s="1"/>
  <c r="D61" i="19"/>
  <c r="D57" i="19"/>
  <c r="E84" i="20" s="1"/>
  <c r="D53" i="19"/>
  <c r="E80" i="20" s="1"/>
  <c r="D49" i="19"/>
  <c r="E76" i="20" s="1"/>
  <c r="D45" i="19"/>
  <c r="E72" i="20" s="1"/>
  <c r="D41" i="19"/>
  <c r="E68" i="20" s="1"/>
  <c r="F68" i="20" s="1"/>
  <c r="D37" i="19"/>
  <c r="E64" i="20" s="1"/>
  <c r="F64" i="20" s="1"/>
  <c r="D33" i="19"/>
  <c r="E60" i="20" s="1"/>
  <c r="F60" i="20" s="1"/>
  <c r="D29" i="19"/>
  <c r="E56" i="20" s="1"/>
  <c r="G56" i="20" s="1"/>
  <c r="D25" i="19"/>
  <c r="E52" i="20" s="1"/>
  <c r="F52" i="20" s="1"/>
  <c r="D27" i="19"/>
  <c r="E54" i="20" s="1"/>
  <c r="G54" i="20" s="1"/>
  <c r="D14" i="19"/>
  <c r="E41" i="20" s="1"/>
  <c r="D68" i="19"/>
  <c r="D66" i="19"/>
  <c r="D60" i="19"/>
  <c r="D52" i="19"/>
  <c r="D50" i="19"/>
  <c r="D48" i="19"/>
  <c r="D46" i="19"/>
  <c r="D44" i="19"/>
  <c r="D42" i="19"/>
  <c r="D38" i="19"/>
  <c r="E65" i="20" s="1"/>
  <c r="D34" i="19"/>
  <c r="E61" i="20" s="1"/>
  <c r="D32" i="19"/>
  <c r="E59" i="20" s="1"/>
  <c r="D30" i="19"/>
  <c r="E57" i="20" s="1"/>
  <c r="D26" i="19"/>
  <c r="E53" i="20" s="1"/>
  <c r="D22" i="19"/>
  <c r="E49" i="20" s="1"/>
  <c r="D20" i="19"/>
  <c r="E47" i="20" s="1"/>
  <c r="D18" i="19"/>
  <c r="E45" i="20" s="1"/>
  <c r="D16" i="19"/>
  <c r="E43" i="20" s="1"/>
  <c r="D12" i="19"/>
  <c r="D70" i="19"/>
  <c r="D64" i="19"/>
  <c r="D62" i="19"/>
  <c r="D58" i="19"/>
  <c r="D56" i="19"/>
  <c r="D54" i="19"/>
  <c r="D40" i="19"/>
  <c r="E67" i="20" s="1"/>
  <c r="D36" i="19"/>
  <c r="E63" i="20" s="1"/>
  <c r="D28" i="19"/>
  <c r="E55" i="20" s="1"/>
  <c r="D24" i="19"/>
  <c r="E51" i="20" s="1"/>
  <c r="E90" i="20"/>
  <c r="E88" i="20"/>
  <c r="D19" i="19"/>
  <c r="E46" i="20" s="1"/>
  <c r="D17" i="19"/>
  <c r="E44" i="20" s="1"/>
  <c r="D15" i="19"/>
  <c r="E42" i="20" s="1"/>
  <c r="F56" i="20" l="1"/>
  <c r="G52" i="20"/>
  <c r="F48" i="20"/>
  <c r="F58" i="20"/>
  <c r="F62" i="20"/>
  <c r="F50" i="20"/>
  <c r="F40" i="20"/>
  <c r="G64" i="20"/>
  <c r="F66" i="20"/>
  <c r="F54" i="20"/>
  <c r="G60" i="20"/>
  <c r="G68" i="20"/>
  <c r="H74" i="20"/>
  <c r="F74" i="20"/>
  <c r="G74" i="20"/>
  <c r="F82" i="20"/>
  <c r="H82" i="20"/>
  <c r="G82" i="20"/>
  <c r="F98" i="20"/>
  <c r="H98" i="20"/>
  <c r="G98" i="20"/>
  <c r="E83" i="20"/>
  <c r="F47" i="20"/>
  <c r="G47" i="20"/>
  <c r="G41" i="20"/>
  <c r="F41" i="20"/>
  <c r="E85" i="20"/>
  <c r="G49" i="20"/>
  <c r="F49" i="20"/>
  <c r="E73" i="20"/>
  <c r="G42" i="20"/>
  <c r="F42" i="20"/>
  <c r="F76" i="20"/>
  <c r="H76" i="20"/>
  <c r="G76" i="20"/>
  <c r="F84" i="20"/>
  <c r="H84" i="20"/>
  <c r="G84" i="20"/>
  <c r="G92" i="20"/>
  <c r="F92" i="20"/>
  <c r="H92" i="20"/>
  <c r="E89" i="20"/>
  <c r="G53" i="20"/>
  <c r="F53" i="20"/>
  <c r="E75" i="20"/>
  <c r="G44" i="20"/>
  <c r="F44" i="20"/>
  <c r="G57" i="20"/>
  <c r="F57" i="20"/>
  <c r="F46" i="20"/>
  <c r="G46" i="20"/>
  <c r="H70" i="20"/>
  <c r="G70" i="20"/>
  <c r="F70" i="20"/>
  <c r="H78" i="20"/>
  <c r="G78" i="20"/>
  <c r="F78" i="20"/>
  <c r="G86" i="20"/>
  <c r="F86" i="20"/>
  <c r="H86" i="20"/>
  <c r="H94" i="20"/>
  <c r="G94" i="20"/>
  <c r="F94" i="20"/>
  <c r="F55" i="20"/>
  <c r="G55" i="20"/>
  <c r="E97" i="20"/>
  <c r="G59" i="20"/>
  <c r="F59" i="20"/>
  <c r="E79" i="20"/>
  <c r="G63" i="20"/>
  <c r="F63" i="20"/>
  <c r="E39" i="20"/>
  <c r="G61" i="20"/>
  <c r="F61" i="20"/>
  <c r="E87" i="20"/>
  <c r="F51" i="20"/>
  <c r="G51" i="20"/>
  <c r="E91" i="20"/>
  <c r="E77" i="20"/>
  <c r="H72" i="20"/>
  <c r="F72" i="20"/>
  <c r="G72" i="20"/>
  <c r="H80" i="20"/>
  <c r="F80" i="20"/>
  <c r="G80" i="20"/>
  <c r="G88" i="20"/>
  <c r="F88" i="20"/>
  <c r="H88" i="20"/>
  <c r="F96" i="20"/>
  <c r="H96" i="20"/>
  <c r="G96" i="20"/>
  <c r="G67" i="20"/>
  <c r="F67" i="20"/>
  <c r="F43" i="20"/>
  <c r="G43" i="20"/>
  <c r="F65" i="20"/>
  <c r="G65" i="20"/>
  <c r="E93" i="20"/>
  <c r="E81" i="20"/>
  <c r="G45" i="20"/>
  <c r="F45" i="20"/>
  <c r="E69" i="20"/>
  <c r="E95" i="20"/>
  <c r="F90" i="20"/>
  <c r="H90" i="20"/>
  <c r="G90" i="20"/>
  <c r="E71" i="20"/>
  <c r="J31" i="14" l="1"/>
  <c r="J43" i="14"/>
  <c r="J55" i="14"/>
  <c r="J67" i="14"/>
  <c r="J79" i="14"/>
  <c r="J91" i="14"/>
  <c r="J103" i="14"/>
  <c r="J115" i="14"/>
  <c r="J127" i="14"/>
  <c r="J139" i="14"/>
  <c r="J151" i="14"/>
  <c r="J163" i="14"/>
  <c r="J175" i="14"/>
  <c r="J187" i="14"/>
  <c r="J199" i="14"/>
  <c r="J211" i="14"/>
  <c r="J223" i="14"/>
  <c r="J235" i="14"/>
  <c r="J27" i="16"/>
  <c r="J39" i="16"/>
  <c r="J51" i="16"/>
  <c r="J63" i="16"/>
  <c r="J75" i="16"/>
  <c r="J87" i="16"/>
  <c r="J99" i="16"/>
  <c r="J111" i="16"/>
  <c r="J123" i="16"/>
  <c r="J135" i="16"/>
  <c r="J147" i="16"/>
  <c r="J159" i="16"/>
  <c r="J171" i="16"/>
  <c r="J183" i="16"/>
  <c r="J197" i="16"/>
  <c r="J209" i="16"/>
  <c r="J221" i="16"/>
  <c r="J233" i="16"/>
  <c r="J245" i="16"/>
  <c r="J257" i="16"/>
  <c r="J269" i="16"/>
  <c r="J281" i="16"/>
  <c r="J293" i="16"/>
  <c r="J305" i="16"/>
  <c r="J317" i="16"/>
  <c r="J329" i="16"/>
  <c r="J341" i="16"/>
  <c r="J353" i="16"/>
  <c r="J365" i="16"/>
  <c r="J377" i="16"/>
  <c r="J389" i="16"/>
  <c r="J401" i="16"/>
  <c r="J413" i="16"/>
  <c r="J425" i="16"/>
  <c r="J437" i="16"/>
  <c r="J449" i="16"/>
  <c r="J461" i="16"/>
  <c r="J473" i="16"/>
  <c r="J485" i="16"/>
  <c r="J497" i="16"/>
  <c r="J509" i="16"/>
  <c r="J521" i="16"/>
  <c r="J533" i="16"/>
  <c r="J32" i="14"/>
  <c r="J44" i="14"/>
  <c r="J56" i="14"/>
  <c r="J68" i="14"/>
  <c r="J80" i="14"/>
  <c r="J92" i="14"/>
  <c r="J104" i="14"/>
  <c r="J116" i="14"/>
  <c r="J128" i="14"/>
  <c r="J140" i="14"/>
  <c r="J152" i="14"/>
  <c r="J164" i="14"/>
  <c r="J176" i="14"/>
  <c r="J188" i="14"/>
  <c r="J200" i="14"/>
  <c r="J212" i="14"/>
  <c r="J224" i="14"/>
  <c r="J236" i="14"/>
  <c r="J28" i="16"/>
  <c r="J40" i="16"/>
  <c r="J52" i="16"/>
  <c r="J64" i="16"/>
  <c r="J76" i="16"/>
  <c r="J88" i="16"/>
  <c r="J33" i="14"/>
  <c r="J47" i="14"/>
  <c r="J61" i="14"/>
  <c r="J75" i="14"/>
  <c r="J89" i="14"/>
  <c r="J105" i="14"/>
  <c r="J119" i="14"/>
  <c r="J133" i="14"/>
  <c r="J147" i="14"/>
  <c r="J161" i="14"/>
  <c r="J177" i="14"/>
  <c r="J191" i="14"/>
  <c r="J205" i="14"/>
  <c r="J219" i="14"/>
  <c r="J233" i="14"/>
  <c r="J29" i="16"/>
  <c r="J43" i="16"/>
  <c r="J57" i="16"/>
  <c r="J71" i="16"/>
  <c r="J85" i="16"/>
  <c r="J100" i="16"/>
  <c r="J113" i="16"/>
  <c r="J126" i="16"/>
  <c r="J139" i="16"/>
  <c r="J152" i="16"/>
  <c r="J165" i="16"/>
  <c r="J178" i="16"/>
  <c r="J193" i="16"/>
  <c r="J206" i="16"/>
  <c r="J219" i="16"/>
  <c r="J232" i="16"/>
  <c r="J246" i="16"/>
  <c r="J259" i="16"/>
  <c r="J272" i="16"/>
  <c r="J285" i="16"/>
  <c r="J298" i="16"/>
  <c r="J311" i="16"/>
  <c r="J324" i="16"/>
  <c r="J337" i="16"/>
  <c r="J350" i="16"/>
  <c r="J363" i="16"/>
  <c r="J376" i="16"/>
  <c r="J390" i="16"/>
  <c r="J403" i="16"/>
  <c r="J416" i="16"/>
  <c r="J429" i="16"/>
  <c r="J442" i="16"/>
  <c r="J455" i="16"/>
  <c r="J468" i="16"/>
  <c r="J481" i="16"/>
  <c r="J494" i="16"/>
  <c r="J507" i="16"/>
  <c r="J520" i="16"/>
  <c r="J534" i="16"/>
  <c r="J120" i="14"/>
  <c r="J162" i="14"/>
  <c r="J192" i="14"/>
  <c r="J220" i="14"/>
  <c r="J234" i="14"/>
  <c r="J44" i="16"/>
  <c r="J58" i="16"/>
  <c r="J72" i="16"/>
  <c r="J101" i="16"/>
  <c r="J114" i="16"/>
  <c r="J140" i="16"/>
  <c r="J153" i="16"/>
  <c r="J179" i="16"/>
  <c r="J207" i="16"/>
  <c r="J220" i="16"/>
  <c r="J247" i="16"/>
  <c r="J260" i="16"/>
  <c r="J273" i="16"/>
  <c r="J299" i="16"/>
  <c r="J312" i="16"/>
  <c r="J338" i="16"/>
  <c r="J351" i="16"/>
  <c r="J378" i="16"/>
  <c r="J391" i="16"/>
  <c r="J417" i="16"/>
  <c r="J430" i="16"/>
  <c r="J456" i="16"/>
  <c r="J469" i="16"/>
  <c r="J495" i="16"/>
  <c r="J508" i="16"/>
  <c r="J535" i="16"/>
  <c r="J49" i="14"/>
  <c r="J63" i="14"/>
  <c r="J93" i="14"/>
  <c r="J107" i="14"/>
  <c r="J135" i="14"/>
  <c r="J165" i="14"/>
  <c r="J193" i="14"/>
  <c r="J73" i="16"/>
  <c r="J115" i="16"/>
  <c r="J141" i="16"/>
  <c r="J154" i="16"/>
  <c r="J180" i="16"/>
  <c r="J208" i="16"/>
  <c r="J235" i="16"/>
  <c r="J261" i="16"/>
  <c r="J287" i="16"/>
  <c r="J300" i="16"/>
  <c r="J326" i="16"/>
  <c r="J352" i="16"/>
  <c r="J379" i="16"/>
  <c r="J405" i="16"/>
  <c r="J418" i="16"/>
  <c r="J444" i="16"/>
  <c r="J457" i="16"/>
  <c r="J470" i="16"/>
  <c r="J496" i="16"/>
  <c r="J523" i="16"/>
  <c r="J50" i="14"/>
  <c r="J64" i="14"/>
  <c r="J78" i="14"/>
  <c r="J108" i="14"/>
  <c r="J136" i="14"/>
  <c r="J150" i="14"/>
  <c r="J180" i="14"/>
  <c r="J208" i="14"/>
  <c r="J222" i="14"/>
  <c r="J46" i="16"/>
  <c r="J74" i="16"/>
  <c r="J90" i="16"/>
  <c r="J116" i="16"/>
  <c r="J142" i="16"/>
  <c r="J168" i="16"/>
  <c r="J196" i="16"/>
  <c r="J210" i="16"/>
  <c r="J223" i="16"/>
  <c r="J236" i="16"/>
  <c r="J262" i="16"/>
  <c r="J275" i="16"/>
  <c r="J301" i="16"/>
  <c r="J327" i="16"/>
  <c r="J354" i="16"/>
  <c r="J380" i="16"/>
  <c r="J406" i="16"/>
  <c r="J419" i="16"/>
  <c r="J445" i="16"/>
  <c r="J471" i="16"/>
  <c r="J484" i="16"/>
  <c r="J511" i="16"/>
  <c r="J524" i="16"/>
  <c r="J23" i="14"/>
  <c r="J51" i="14"/>
  <c r="J65" i="14"/>
  <c r="J95" i="14"/>
  <c r="J123" i="14"/>
  <c r="J153" i="14"/>
  <c r="J181" i="14"/>
  <c r="J195" i="14"/>
  <c r="J225" i="14"/>
  <c r="J33" i="16"/>
  <c r="J61" i="16"/>
  <c r="J91" i="16"/>
  <c r="J117" i="16"/>
  <c r="J143" i="16"/>
  <c r="J169" i="16"/>
  <c r="J182" i="16"/>
  <c r="J34" i="14"/>
  <c r="J48" i="14"/>
  <c r="J62" i="14"/>
  <c r="J76" i="14"/>
  <c r="J90" i="14"/>
  <c r="J106" i="14"/>
  <c r="J134" i="14"/>
  <c r="J148" i="14"/>
  <c r="J178" i="14"/>
  <c r="J206" i="14"/>
  <c r="J30" i="16"/>
  <c r="J86" i="16"/>
  <c r="J127" i="16"/>
  <c r="J166" i="16"/>
  <c r="J194" i="16"/>
  <c r="J234" i="16"/>
  <c r="J286" i="16"/>
  <c r="J325" i="16"/>
  <c r="J364" i="16"/>
  <c r="J404" i="16"/>
  <c r="J443" i="16"/>
  <c r="J482" i="16"/>
  <c r="J522" i="16"/>
  <c r="J35" i="14"/>
  <c r="J77" i="14"/>
  <c r="J121" i="14"/>
  <c r="J149" i="14"/>
  <c r="J179" i="14"/>
  <c r="J207" i="14"/>
  <c r="J221" i="14"/>
  <c r="J237" i="14"/>
  <c r="J31" i="16"/>
  <c r="J45" i="16"/>
  <c r="J59" i="16"/>
  <c r="J89" i="16"/>
  <c r="J102" i="16"/>
  <c r="J128" i="16"/>
  <c r="J167" i="16"/>
  <c r="J195" i="16"/>
  <c r="J222" i="16"/>
  <c r="J248" i="16"/>
  <c r="J274" i="16"/>
  <c r="J313" i="16"/>
  <c r="J339" i="16"/>
  <c r="J366" i="16"/>
  <c r="J392" i="16"/>
  <c r="J431" i="16"/>
  <c r="J483" i="16"/>
  <c r="J510" i="16"/>
  <c r="J536" i="16"/>
  <c r="J36" i="14"/>
  <c r="J94" i="14"/>
  <c r="J122" i="14"/>
  <c r="J166" i="14"/>
  <c r="J194" i="14"/>
  <c r="J238" i="14"/>
  <c r="J32" i="16"/>
  <c r="J60" i="16"/>
  <c r="J103" i="16"/>
  <c r="J129" i="16"/>
  <c r="J155" i="16"/>
  <c r="J181" i="16"/>
  <c r="J249" i="16"/>
  <c r="J288" i="16"/>
  <c r="J314" i="16"/>
  <c r="J340" i="16"/>
  <c r="J367" i="16"/>
  <c r="J393" i="16"/>
  <c r="J432" i="16"/>
  <c r="J458" i="16"/>
  <c r="J498" i="16"/>
  <c r="J537" i="16"/>
  <c r="J37" i="14"/>
  <c r="J81" i="14"/>
  <c r="J109" i="14"/>
  <c r="J137" i="14"/>
  <c r="J167" i="14"/>
  <c r="J209" i="14"/>
  <c r="J239" i="14"/>
  <c r="J47" i="16"/>
  <c r="J77" i="16"/>
  <c r="J104" i="16"/>
  <c r="J130" i="16"/>
  <c r="J156" i="16"/>
  <c r="J198" i="16"/>
  <c r="J39" i="14"/>
  <c r="J60" i="14"/>
  <c r="J86" i="14"/>
  <c r="J112" i="14"/>
  <c r="J138" i="14"/>
  <c r="J159" i="14"/>
  <c r="J185" i="14"/>
  <c r="J213" i="14"/>
  <c r="J232" i="14"/>
  <c r="J38" i="16"/>
  <c r="J66" i="16"/>
  <c r="J92" i="16"/>
  <c r="J110" i="16"/>
  <c r="J134" i="16"/>
  <c r="J158" i="16"/>
  <c r="J177" i="16"/>
  <c r="J203" i="16"/>
  <c r="J225" i="16"/>
  <c r="J242" i="16"/>
  <c r="J264" i="16"/>
  <c r="J282" i="16"/>
  <c r="J303" i="16"/>
  <c r="J321" i="16"/>
  <c r="J343" i="16"/>
  <c r="J360" i="16"/>
  <c r="J382" i="16"/>
  <c r="J399" i="16"/>
  <c r="J421" i="16"/>
  <c r="J439" i="16"/>
  <c r="J460" i="16"/>
  <c r="J478" i="16"/>
  <c r="J500" i="16"/>
  <c r="J517" i="16"/>
  <c r="J40" i="14"/>
  <c r="J66" i="14"/>
  <c r="J87" i="14"/>
  <c r="J113" i="14"/>
  <c r="J141" i="14"/>
  <c r="J160" i="14"/>
  <c r="J186" i="14"/>
  <c r="J214" i="14"/>
  <c r="J240" i="14"/>
  <c r="J41" i="16"/>
  <c r="J67" i="16"/>
  <c r="J93" i="16"/>
  <c r="J112" i="16"/>
  <c r="J136" i="16"/>
  <c r="J160" i="16"/>
  <c r="J184" i="16"/>
  <c r="J204" i="16"/>
  <c r="J226" i="16"/>
  <c r="J243" i="16"/>
  <c r="J265" i="16"/>
  <c r="J283" i="16"/>
  <c r="J304" i="16"/>
  <c r="J322" i="16"/>
  <c r="J344" i="16"/>
  <c r="J361" i="16"/>
  <c r="J383" i="16"/>
  <c r="J400" i="16"/>
  <c r="J422" i="16"/>
  <c r="J440" i="16"/>
  <c r="J462" i="16"/>
  <c r="J479" i="16"/>
  <c r="J501" i="16"/>
  <c r="J518" i="16"/>
  <c r="J41" i="14"/>
  <c r="J69" i="14"/>
  <c r="J88" i="14"/>
  <c r="J114" i="14"/>
  <c r="J142" i="14"/>
  <c r="J168" i="14"/>
  <c r="J189" i="14"/>
  <c r="J215" i="14"/>
  <c r="J241" i="14"/>
  <c r="J42" i="16"/>
  <c r="J68" i="16"/>
  <c r="J94" i="16"/>
  <c r="J118" i="16"/>
  <c r="J137" i="16"/>
  <c r="J161" i="16"/>
  <c r="J185" i="16"/>
  <c r="J205" i="16"/>
  <c r="J227" i="16"/>
  <c r="J244" i="16"/>
  <c r="J266" i="16"/>
  <c r="J306" i="16"/>
  <c r="J323" i="16"/>
  <c r="J345" i="16"/>
  <c r="J362" i="16"/>
  <c r="J384" i="16"/>
  <c r="J402" i="16"/>
  <c r="J423" i="16"/>
  <c r="J463" i="16"/>
  <c r="J480" i="16"/>
  <c r="J519" i="16"/>
  <c r="J42" i="14"/>
  <c r="J96" i="14"/>
  <c r="J143" i="14"/>
  <c r="J169" i="14"/>
  <c r="J216" i="14"/>
  <c r="J48" i="16"/>
  <c r="J95" i="16"/>
  <c r="J138" i="16"/>
  <c r="J186" i="16"/>
  <c r="J228" i="16"/>
  <c r="J267" i="16"/>
  <c r="J307" i="16"/>
  <c r="J346" i="16"/>
  <c r="J385" i="16"/>
  <c r="J407" i="16"/>
  <c r="J446" i="16"/>
  <c r="J486" i="16"/>
  <c r="J525" i="16"/>
  <c r="J45" i="14"/>
  <c r="J97" i="14"/>
  <c r="J144" i="14"/>
  <c r="J196" i="14"/>
  <c r="J70" i="16"/>
  <c r="J120" i="16"/>
  <c r="J163" i="16"/>
  <c r="J187" i="16"/>
  <c r="J251" i="16"/>
  <c r="J308" i="16"/>
  <c r="J347" i="16"/>
  <c r="J386" i="16"/>
  <c r="J408" i="16"/>
  <c r="J447" i="16"/>
  <c r="J487" i="16"/>
  <c r="J526" i="16"/>
  <c r="J25" i="14"/>
  <c r="J98" i="14"/>
  <c r="J145" i="14"/>
  <c r="J197" i="14"/>
  <c r="J24" i="16"/>
  <c r="J78" i="16"/>
  <c r="J121" i="16"/>
  <c r="J145" i="16"/>
  <c r="J190" i="16"/>
  <c r="J213" i="16"/>
  <c r="J252" i="16"/>
  <c r="J291" i="16"/>
  <c r="J331" i="16"/>
  <c r="J370" i="16"/>
  <c r="J387" i="16"/>
  <c r="J427" i="16"/>
  <c r="J466" i="16"/>
  <c r="J505" i="16"/>
  <c r="J26" i="14"/>
  <c r="J73" i="14"/>
  <c r="J125" i="14"/>
  <c r="J172" i="14"/>
  <c r="J198" i="14"/>
  <c r="J25" i="16"/>
  <c r="J79" i="16"/>
  <c r="J122" i="16"/>
  <c r="J146" i="16"/>
  <c r="J191" i="16"/>
  <c r="J214" i="16"/>
  <c r="J253" i="16"/>
  <c r="J292" i="16"/>
  <c r="J310" i="16"/>
  <c r="J349" i="16"/>
  <c r="J388" i="16"/>
  <c r="J410" i="16"/>
  <c r="J450" i="16"/>
  <c r="J489" i="16"/>
  <c r="J284" i="16"/>
  <c r="J441" i="16"/>
  <c r="J502" i="16"/>
  <c r="J70" i="14"/>
  <c r="J117" i="14"/>
  <c r="J190" i="14"/>
  <c r="J22" i="14"/>
  <c r="P22" i="14" s="1"/>
  <c r="J69" i="16"/>
  <c r="J119" i="16"/>
  <c r="J162" i="16"/>
  <c r="J211" i="16"/>
  <c r="J250" i="16"/>
  <c r="J289" i="16"/>
  <c r="J328" i="16"/>
  <c r="J368" i="16"/>
  <c r="J424" i="16"/>
  <c r="J464" i="16"/>
  <c r="J503" i="16"/>
  <c r="J71" i="14"/>
  <c r="J118" i="14"/>
  <c r="J170" i="14"/>
  <c r="J217" i="14"/>
  <c r="J49" i="16"/>
  <c r="J96" i="16"/>
  <c r="J144" i="16"/>
  <c r="J212" i="16"/>
  <c r="J229" i="16"/>
  <c r="J268" i="16"/>
  <c r="J290" i="16"/>
  <c r="J330" i="16"/>
  <c r="J369" i="16"/>
  <c r="J426" i="16"/>
  <c r="J465" i="16"/>
  <c r="J504" i="16"/>
  <c r="J46" i="14"/>
  <c r="J72" i="14"/>
  <c r="J124" i="14"/>
  <c r="J171" i="14"/>
  <c r="J218" i="14"/>
  <c r="J50" i="16"/>
  <c r="J97" i="16"/>
  <c r="J164" i="16"/>
  <c r="J230" i="16"/>
  <c r="J270" i="16"/>
  <c r="J309" i="16"/>
  <c r="J348" i="16"/>
  <c r="J409" i="16"/>
  <c r="J448" i="16"/>
  <c r="J488" i="16"/>
  <c r="J527" i="16"/>
  <c r="J52" i="14"/>
  <c r="J99" i="14"/>
  <c r="J146" i="14"/>
  <c r="J226" i="14"/>
  <c r="J53" i="16"/>
  <c r="J98" i="16"/>
  <c r="J170" i="16"/>
  <c r="J231" i="16"/>
  <c r="J271" i="16"/>
  <c r="J332" i="16"/>
  <c r="J371" i="16"/>
  <c r="J428" i="16"/>
  <c r="J467" i="16"/>
  <c r="J506" i="16"/>
  <c r="J58" i="14"/>
  <c r="J126" i="14"/>
  <c r="J182" i="14"/>
  <c r="J231" i="14"/>
  <c r="J81" i="16"/>
  <c r="J132" i="16"/>
  <c r="J192" i="16"/>
  <c r="J239" i="16"/>
  <c r="J280" i="16"/>
  <c r="J334" i="16"/>
  <c r="J375" i="16"/>
  <c r="J433" i="16"/>
  <c r="J475" i="16"/>
  <c r="J516" i="16"/>
  <c r="J59" i="14"/>
  <c r="J129" i="14"/>
  <c r="J183" i="14"/>
  <c r="J26" i="16"/>
  <c r="J82" i="16"/>
  <c r="J133" i="16"/>
  <c r="J199" i="16"/>
  <c r="J240" i="16"/>
  <c r="J294" i="16"/>
  <c r="J335" i="16"/>
  <c r="J381" i="16"/>
  <c r="J434" i="16"/>
  <c r="J476" i="16"/>
  <c r="J528" i="16"/>
  <c r="J74" i="14"/>
  <c r="J130" i="14"/>
  <c r="J184" i="14"/>
  <c r="J34" i="16"/>
  <c r="J83" i="16"/>
  <c r="J148" i="16"/>
  <c r="J200" i="16"/>
  <c r="J241" i="16"/>
  <c r="J295" i="16"/>
  <c r="J336" i="16"/>
  <c r="J394" i="16"/>
  <c r="J435" i="16"/>
  <c r="J477" i="16"/>
  <c r="J529" i="16"/>
  <c r="J82" i="14"/>
  <c r="J131" i="14"/>
  <c r="J201" i="14"/>
  <c r="J35" i="16"/>
  <c r="J84" i="16"/>
  <c r="J149" i="16"/>
  <c r="J201" i="16"/>
  <c r="J254" i="16"/>
  <c r="J296" i="16"/>
  <c r="J342" i="16"/>
  <c r="J395" i="16"/>
  <c r="J436" i="16"/>
  <c r="J490" i="16"/>
  <c r="J530" i="16"/>
  <c r="J27" i="14"/>
  <c r="J83" i="14"/>
  <c r="J132" i="14"/>
  <c r="J202" i="14"/>
  <c r="J36" i="16"/>
  <c r="J105" i="16"/>
  <c r="J150" i="16"/>
  <c r="J202" i="16"/>
  <c r="J255" i="16"/>
  <c r="J297" i="16"/>
  <c r="J355" i="16"/>
  <c r="J396" i="16"/>
  <c r="J438" i="16"/>
  <c r="J491" i="16"/>
  <c r="J531" i="16"/>
  <c r="J28" i="14"/>
  <c r="J84" i="14"/>
  <c r="J154" i="14"/>
  <c r="J203" i="14"/>
  <c r="J37" i="16"/>
  <c r="J106" i="16"/>
  <c r="J151" i="16"/>
  <c r="J215" i="16"/>
  <c r="J256" i="16"/>
  <c r="J302" i="16"/>
  <c r="J356" i="16"/>
  <c r="J397" i="16"/>
  <c r="J451" i="16"/>
  <c r="J492" i="16"/>
  <c r="J532" i="16"/>
  <c r="J29" i="14"/>
  <c r="J85" i="14"/>
  <c r="J155" i="14"/>
  <c r="J204" i="14"/>
  <c r="J54" i="16"/>
  <c r="J107" i="16"/>
  <c r="J157" i="16"/>
  <c r="J216" i="16"/>
  <c r="J258" i="16"/>
  <c r="J315" i="16"/>
  <c r="J357" i="16"/>
  <c r="J398" i="16"/>
  <c r="J452" i="16"/>
  <c r="J493" i="16"/>
  <c r="J538" i="16"/>
  <c r="J30" i="14"/>
  <c r="J100" i="14"/>
  <c r="J156" i="14"/>
  <c r="J210" i="14"/>
  <c r="J55" i="16"/>
  <c r="J108" i="16"/>
  <c r="J172" i="16"/>
  <c r="J217" i="16"/>
  <c r="J263" i="16"/>
  <c r="J316" i="16"/>
  <c r="J358" i="16"/>
  <c r="J411" i="16"/>
  <c r="J453" i="16"/>
  <c r="J499" i="16"/>
  <c r="J38" i="14"/>
  <c r="J101" i="14"/>
  <c r="J157" i="14"/>
  <c r="J227" i="14"/>
  <c r="J56" i="16"/>
  <c r="J109" i="16"/>
  <c r="J173" i="16"/>
  <c r="J218" i="16"/>
  <c r="J276" i="16"/>
  <c r="J318" i="16"/>
  <c r="J359" i="16"/>
  <c r="J412" i="16"/>
  <c r="J454" i="16"/>
  <c r="J512" i="16"/>
  <c r="J53" i="14"/>
  <c r="J102" i="14"/>
  <c r="J158" i="14"/>
  <c r="J228" i="14"/>
  <c r="J62" i="16"/>
  <c r="J124" i="16"/>
  <c r="J174" i="16"/>
  <c r="J224" i="16"/>
  <c r="J277" i="16"/>
  <c r="J319" i="16"/>
  <c r="J372" i="16"/>
  <c r="J414" i="16"/>
  <c r="J459" i="16"/>
  <c r="J513" i="16"/>
  <c r="J54" i="14"/>
  <c r="J110" i="14"/>
  <c r="J173" i="14"/>
  <c r="J229" i="14"/>
  <c r="J65" i="16"/>
  <c r="J125" i="16"/>
  <c r="J175" i="16"/>
  <c r="J237" i="16"/>
  <c r="J278" i="16"/>
  <c r="J320" i="16"/>
  <c r="J373" i="16"/>
  <c r="J415" i="16"/>
  <c r="J472" i="16"/>
  <c r="J514" i="16"/>
  <c r="J57" i="14"/>
  <c r="J111" i="14"/>
  <c r="J174" i="14"/>
  <c r="J230" i="14"/>
  <c r="J80" i="16"/>
  <c r="J131" i="16"/>
  <c r="J176" i="16"/>
  <c r="J238" i="16"/>
  <c r="J279" i="16"/>
  <c r="J333" i="16"/>
  <c r="J374" i="16"/>
  <c r="J420" i="16"/>
  <c r="J474" i="16"/>
  <c r="J515" i="16"/>
  <c r="J189" i="16"/>
  <c r="J188" i="16"/>
  <c r="F39" i="20"/>
  <c r="E29" i="20"/>
  <c r="F75" i="20"/>
  <c r="H75" i="20"/>
  <c r="G75" i="20"/>
  <c r="F79" i="20"/>
  <c r="G79" i="20"/>
  <c r="H79" i="20"/>
  <c r="F91" i="20"/>
  <c r="G91" i="20"/>
  <c r="H91" i="20"/>
  <c r="H73" i="20"/>
  <c r="G73" i="20"/>
  <c r="F73" i="20"/>
  <c r="H69" i="20"/>
  <c r="G69" i="20"/>
  <c r="F69" i="20"/>
  <c r="G85" i="20"/>
  <c r="H85" i="20"/>
  <c r="F85" i="20"/>
  <c r="H97" i="20"/>
  <c r="G97" i="20"/>
  <c r="F97" i="20"/>
  <c r="H71" i="20"/>
  <c r="G71" i="20"/>
  <c r="F71" i="20"/>
  <c r="F77" i="20"/>
  <c r="H77" i="20"/>
  <c r="G77" i="20"/>
  <c r="F95" i="20"/>
  <c r="H95" i="20"/>
  <c r="G95" i="20"/>
  <c r="F93" i="20"/>
  <c r="H93" i="20"/>
  <c r="G93" i="20"/>
  <c r="F83" i="20"/>
  <c r="G83" i="20"/>
  <c r="H83" i="20"/>
  <c r="H87" i="20"/>
  <c r="G87" i="20"/>
  <c r="F87" i="20"/>
  <c r="G81" i="20"/>
  <c r="H81" i="20"/>
  <c r="F81" i="20"/>
  <c r="G89" i="20"/>
  <c r="F89" i="20"/>
  <c r="H89" i="20"/>
  <c r="F29" i="20" l="1"/>
  <c r="H21" i="20" s="1"/>
  <c r="G22" i="25" s="1"/>
  <c r="H29" i="20"/>
  <c r="L21" i="20" s="1"/>
  <c r="G29" i="20"/>
  <c r="J242" i="14"/>
  <c r="J540" i="16"/>
  <c r="J55" i="17"/>
  <c r="K21" i="20" l="1"/>
  <c r="K22" i="20" s="1"/>
  <c r="J21" i="20"/>
  <c r="G23" i="25" s="1"/>
  <c r="G24" i="25"/>
  <c r="P236" i="14" l="1"/>
  <c r="P194" i="16"/>
  <c r="P205" i="16"/>
  <c r="P190" i="16"/>
  <c r="P204" i="16"/>
  <c r="P201" i="16"/>
  <c r="P481" i="16"/>
  <c r="P483" i="16"/>
  <c r="P518" i="16"/>
  <c r="P516" i="16"/>
  <c r="P523" i="16"/>
  <c r="P486" i="16"/>
  <c r="P526" i="16"/>
  <c r="P490" i="16"/>
  <c r="P230" i="14"/>
  <c r="P209" i="16"/>
  <c r="P193" i="16"/>
  <c r="P489" i="16"/>
  <c r="P536" i="16"/>
  <c r="P519" i="16"/>
  <c r="P535" i="16"/>
  <c r="P533" i="16"/>
  <c r="P492" i="16"/>
  <c r="P482" i="16"/>
  <c r="P210" i="16"/>
  <c r="P499" i="16"/>
  <c r="P494" i="16"/>
  <c r="P238" i="14"/>
  <c r="P231" i="14"/>
  <c r="P208" i="16"/>
  <c r="P207" i="16"/>
  <c r="P192" i="16"/>
  <c r="P485" i="16"/>
  <c r="P530" i="16"/>
  <c r="P487" i="16"/>
  <c r="P512" i="16"/>
  <c r="P529" i="16"/>
  <c r="P508" i="16"/>
  <c r="P496" i="16"/>
  <c r="P239" i="14"/>
  <c r="P484" i="16"/>
  <c r="P227" i="14"/>
  <c r="P232" i="14"/>
  <c r="P198" i="16"/>
  <c r="P203" i="16"/>
  <c r="P199" i="16"/>
  <c r="P515" i="16"/>
  <c r="P520" i="16"/>
  <c r="P528" i="16"/>
  <c r="P524" i="16"/>
  <c r="P510" i="16"/>
  <c r="P501" i="16"/>
  <c r="P532" i="16"/>
  <c r="P493" i="16"/>
  <c r="P233" i="14"/>
  <c r="P202" i="16"/>
  <c r="P537" i="16"/>
  <c r="P503" i="16"/>
  <c r="P240" i="14"/>
  <c r="P235" i="14"/>
  <c r="P206" i="16"/>
  <c r="P195" i="16"/>
  <c r="P196" i="16"/>
  <c r="P502" i="16"/>
  <c r="P514" i="16"/>
  <c r="P504" i="16"/>
  <c r="P506" i="16"/>
  <c r="P491" i="16"/>
  <c r="P521" i="16"/>
  <c r="P527" i="16"/>
  <c r="P229" i="14"/>
  <c r="P237" i="14"/>
  <c r="P228" i="14"/>
  <c r="P200" i="16"/>
  <c r="P509" i="16"/>
  <c r="P498" i="16"/>
  <c r="P234" i="14"/>
  <c r="P507" i="16"/>
  <c r="P522" i="16"/>
  <c r="P495" i="16"/>
  <c r="P497" i="16"/>
  <c r="P197" i="16"/>
  <c r="P538" i="16"/>
  <c r="P517" i="16"/>
  <c r="P525" i="16"/>
  <c r="P505" i="16"/>
  <c r="P513" i="16"/>
  <c r="P511" i="16"/>
  <c r="P480" i="16"/>
  <c r="P534" i="16"/>
  <c r="P531" i="16"/>
  <c r="P191" i="16"/>
  <c r="P500" i="16"/>
  <c r="P488" i="16"/>
  <c r="P189" i="16" l="1"/>
  <c r="P188" i="16"/>
  <c r="P183" i="16"/>
  <c r="P80" i="16"/>
  <c r="P97" i="16"/>
  <c r="P124" i="16"/>
  <c r="P137" i="16"/>
  <c r="P89" i="16"/>
  <c r="P162" i="16"/>
  <c r="P71" i="16"/>
  <c r="P127" i="16"/>
  <c r="P156" i="16"/>
  <c r="P92" i="16"/>
  <c r="P105" i="16"/>
  <c r="P120" i="16"/>
  <c r="P165" i="16"/>
  <c r="P122" i="16"/>
  <c r="P112" i="16"/>
  <c r="P24" i="14"/>
  <c r="P128" i="14"/>
  <c r="P126" i="14"/>
  <c r="P40" i="16"/>
  <c r="P29" i="16"/>
  <c r="P33" i="16"/>
  <c r="P83" i="14"/>
  <c r="P68" i="14"/>
  <c r="P145" i="14"/>
  <c r="P189" i="14"/>
  <c r="P172" i="14"/>
  <c r="P53" i="14"/>
  <c r="P188" i="14"/>
  <c r="P171" i="14"/>
  <c r="P54" i="14"/>
  <c r="P180" i="14"/>
  <c r="P200" i="14"/>
  <c r="P133" i="14"/>
  <c r="P146" i="14"/>
  <c r="P74" i="14"/>
  <c r="P143" i="14"/>
  <c r="P186" i="14"/>
  <c r="P212" i="14"/>
  <c r="P70" i="14"/>
  <c r="P220" i="14"/>
  <c r="P81" i="14"/>
  <c r="P92" i="14"/>
  <c r="P134" i="14"/>
  <c r="P22" i="16"/>
  <c r="P177" i="16"/>
  <c r="P44" i="16"/>
  <c r="P167" i="14"/>
  <c r="P163" i="14"/>
  <c r="P117" i="14"/>
  <c r="P160" i="14"/>
  <c r="P42" i="14"/>
  <c r="P196" i="14"/>
  <c r="P143" i="16"/>
  <c r="P67" i="16"/>
  <c r="P31" i="16"/>
  <c r="P221" i="14"/>
  <c r="P208" i="14"/>
  <c r="P222" i="14"/>
  <c r="P201" i="14"/>
  <c r="P121" i="14"/>
  <c r="P95" i="16"/>
  <c r="P58" i="16"/>
  <c r="P159" i="16"/>
  <c r="P224" i="14"/>
  <c r="P30" i="16"/>
  <c r="P85" i="14"/>
  <c r="P35" i="14"/>
  <c r="P123" i="14"/>
  <c r="P170" i="16"/>
  <c r="P119" i="16"/>
  <c r="P64" i="16"/>
  <c r="P142" i="16"/>
  <c r="P27" i="16"/>
  <c r="P120" i="14"/>
  <c r="P84" i="14"/>
  <c r="P39" i="14"/>
  <c r="P59" i="14"/>
  <c r="P46" i="16"/>
  <c r="P187" i="16"/>
  <c r="P50" i="16"/>
  <c r="P85" i="16"/>
  <c r="P163" i="16"/>
  <c r="P148" i="16"/>
  <c r="P117" i="16"/>
  <c r="P55" i="16"/>
  <c r="P121" i="16"/>
  <c r="P149" i="16"/>
  <c r="P154" i="16"/>
  <c r="P62" i="16"/>
  <c r="P87" i="16"/>
  <c r="P118" i="16"/>
  <c r="P160" i="16"/>
  <c r="P73" i="16"/>
  <c r="P98" i="16"/>
  <c r="P111" i="14"/>
  <c r="P114" i="14"/>
  <c r="P144" i="14"/>
  <c r="P39" i="16"/>
  <c r="P34" i="16"/>
  <c r="P214" i="14"/>
  <c r="P153" i="14"/>
  <c r="P26" i="14"/>
  <c r="P89" i="14"/>
  <c r="P50" i="14"/>
  <c r="P107" i="14"/>
  <c r="P47" i="14"/>
  <c r="P187" i="14"/>
  <c r="P209" i="14"/>
  <c r="P37" i="14"/>
  <c r="P136" i="14"/>
  <c r="P173" i="14"/>
  <c r="P77" i="14"/>
  <c r="P49" i="14"/>
  <c r="P213" i="14"/>
  <c r="P56" i="14"/>
  <c r="P157" i="14"/>
  <c r="P147" i="14"/>
  <c r="P91" i="14"/>
  <c r="P52" i="14"/>
  <c r="P63" i="14"/>
  <c r="P62" i="14"/>
  <c r="P66" i="14"/>
  <c r="P24" i="16"/>
  <c r="P180" i="16"/>
  <c r="P47" i="16"/>
  <c r="P58" i="14"/>
  <c r="P116" i="14"/>
  <c r="P152" i="14"/>
  <c r="P60" i="14"/>
  <c r="P181" i="14"/>
  <c r="P182" i="16"/>
  <c r="P150" i="16"/>
  <c r="P169" i="16"/>
  <c r="P97" i="14"/>
  <c r="P82" i="14"/>
  <c r="P31" i="14"/>
  <c r="P168" i="14"/>
  <c r="P219" i="14"/>
  <c r="P49" i="16"/>
  <c r="P104" i="16"/>
  <c r="P94" i="16"/>
  <c r="P129" i="16"/>
  <c r="P226" i="14"/>
  <c r="P192" i="14"/>
  <c r="P30" i="14"/>
  <c r="P103" i="14"/>
  <c r="P193" i="14"/>
  <c r="P104" i="14"/>
  <c r="P43" i="14"/>
  <c r="P52" i="16"/>
  <c r="P74" i="16"/>
  <c r="P141" i="16"/>
  <c r="P152" i="16"/>
  <c r="P118" i="14"/>
  <c r="P25" i="16"/>
  <c r="P216" i="14"/>
  <c r="P162" i="14"/>
  <c r="P223" i="14"/>
  <c r="P57" i="14"/>
  <c r="P172" i="16"/>
  <c r="P184" i="16"/>
  <c r="P155" i="16"/>
  <c r="P57" i="16"/>
  <c r="P70" i="16"/>
  <c r="P110" i="16"/>
  <c r="P99" i="16"/>
  <c r="P132" i="16"/>
  <c r="P53" i="16"/>
  <c r="P147" i="16"/>
  <c r="P140" i="16"/>
  <c r="P167" i="16"/>
  <c r="P103" i="16"/>
  <c r="P88" i="16"/>
  <c r="P69" i="16"/>
  <c r="P138" i="16"/>
  <c r="P114" i="16"/>
  <c r="P165" i="14"/>
  <c r="P27" i="14"/>
  <c r="P127" i="14"/>
  <c r="P43" i="16"/>
  <c r="P38" i="16"/>
  <c r="P199" i="14"/>
  <c r="P87" i="14"/>
  <c r="P78" i="14"/>
  <c r="P164" i="14"/>
  <c r="P112" i="14"/>
  <c r="P32" i="14"/>
  <c r="P45" i="14"/>
  <c r="P178" i="14"/>
  <c r="P203" i="14"/>
  <c r="P119" i="14"/>
  <c r="P71" i="14"/>
  <c r="P93" i="14"/>
  <c r="P36" i="14"/>
  <c r="P190" i="14"/>
  <c r="P204" i="14"/>
  <c r="P108" i="14"/>
  <c r="P113" i="14"/>
  <c r="P185" i="14"/>
  <c r="P98" i="14"/>
  <c r="P138" i="14"/>
  <c r="P210" i="14"/>
  <c r="P65" i="14"/>
  <c r="P202" i="14"/>
  <c r="P23" i="16"/>
  <c r="P173" i="16"/>
  <c r="P48" i="16"/>
  <c r="P76" i="14"/>
  <c r="P159" i="14"/>
  <c r="P177" i="14"/>
  <c r="P23" i="14"/>
  <c r="P176" i="16"/>
  <c r="P81" i="16"/>
  <c r="P101" i="16"/>
  <c r="P130" i="14"/>
  <c r="P149" i="14"/>
  <c r="P169" i="14"/>
  <c r="P102" i="14"/>
  <c r="P40" i="14"/>
  <c r="P171" i="16"/>
  <c r="P75" i="16"/>
  <c r="P113" i="16"/>
  <c r="P66" i="16"/>
  <c r="P42" i="16"/>
  <c r="P135" i="14"/>
  <c r="P90" i="14"/>
  <c r="P106" i="14"/>
  <c r="P195" i="14"/>
  <c r="P179" i="16"/>
  <c r="P91" i="16"/>
  <c r="P79" i="16"/>
  <c r="P111" i="16"/>
  <c r="P41" i="16"/>
  <c r="P174" i="14"/>
  <c r="P38" i="14"/>
  <c r="P139" i="14"/>
  <c r="P61" i="14"/>
  <c r="P175" i="16"/>
  <c r="P186" i="16"/>
  <c r="P125" i="16"/>
  <c r="P108" i="16"/>
  <c r="P133" i="16"/>
  <c r="P151" i="16"/>
  <c r="P115" i="16"/>
  <c r="P130" i="16"/>
  <c r="P68" i="16"/>
  <c r="P84" i="16"/>
  <c r="P161" i="16"/>
  <c r="P153" i="16"/>
  <c r="P61" i="16"/>
  <c r="P116" i="16"/>
  <c r="P145" i="16"/>
  <c r="P82" i="16"/>
  <c r="P132" i="14"/>
  <c r="P141" i="14"/>
  <c r="P131" i="14"/>
  <c r="P129" i="14"/>
  <c r="P35" i="16"/>
  <c r="P26" i="16"/>
  <c r="P156" i="14"/>
  <c r="P33" i="14"/>
  <c r="P28" i="14"/>
  <c r="P51" i="14"/>
  <c r="P44" i="14"/>
  <c r="P175" i="14"/>
  <c r="P34" i="14"/>
  <c r="P215" i="14"/>
  <c r="P128" i="16"/>
  <c r="P139" i="16"/>
  <c r="P225" i="14"/>
  <c r="P36" i="16"/>
  <c r="P161" i="14"/>
  <c r="P197" i="14"/>
  <c r="P184" i="14"/>
  <c r="P178" i="16"/>
  <c r="P158" i="16"/>
  <c r="P63" i="16"/>
  <c r="P144" i="16"/>
  <c r="P32" i="16"/>
  <c r="P64" i="14"/>
  <c r="P100" i="14"/>
  <c r="P99" i="14"/>
  <c r="P124" i="14"/>
  <c r="P45" i="16"/>
  <c r="P96" i="16"/>
  <c r="P77" i="16"/>
  <c r="P166" i="14"/>
  <c r="P148" i="14"/>
  <c r="P206" i="14"/>
  <c r="P67" i="14"/>
  <c r="P96" i="14"/>
  <c r="P115" i="14"/>
  <c r="P185" i="16"/>
  <c r="P123" i="16"/>
  <c r="P65" i="16"/>
  <c r="P106" i="16"/>
  <c r="P102" i="16"/>
  <c r="P135" i="16"/>
  <c r="P100" i="16"/>
  <c r="P157" i="16"/>
  <c r="P146" i="16"/>
  <c r="P109" i="16"/>
  <c r="P134" i="16"/>
  <c r="P166" i="16"/>
  <c r="P86" i="16"/>
  <c r="P131" i="16"/>
  <c r="P51" i="16"/>
  <c r="P122" i="14"/>
  <c r="P142" i="14"/>
  <c r="P105" i="14"/>
  <c r="P168" i="16"/>
  <c r="P37" i="16"/>
  <c r="P28" i="16"/>
  <c r="P218" i="14"/>
  <c r="P73" i="14"/>
  <c r="P80" i="14"/>
  <c r="P154" i="14"/>
  <c r="P79" i="14"/>
  <c r="P69" i="14"/>
  <c r="P198" i="14"/>
  <c r="P155" i="14"/>
  <c r="P207" i="14"/>
  <c r="P182" i="14"/>
  <c r="P75" i="14"/>
  <c r="P41" i="14"/>
  <c r="P88" i="14"/>
  <c r="P95" i="14"/>
  <c r="P150" i="14"/>
  <c r="P176" i="14"/>
  <c r="P55" i="14"/>
  <c r="P25" i="14"/>
  <c r="P211" i="14"/>
  <c r="P137" i="14"/>
  <c r="P140" i="14"/>
  <c r="P170" i="14"/>
  <c r="P174" i="16"/>
  <c r="P181" i="16"/>
  <c r="P54" i="16"/>
  <c r="P59" i="16"/>
  <c r="P93" i="16"/>
  <c r="P76" i="16"/>
  <c r="P83" i="16"/>
  <c r="P90" i="16"/>
  <c r="P78" i="16"/>
  <c r="P164" i="16"/>
  <c r="P101" i="14"/>
  <c r="P151" i="14"/>
  <c r="P86" i="14"/>
  <c r="P194" i="14"/>
  <c r="P191" i="14"/>
  <c r="P217" i="14"/>
  <c r="P60" i="16"/>
  <c r="P136" i="16"/>
  <c r="P107" i="16"/>
  <c r="P109" i="14"/>
  <c r="P183" i="14"/>
  <c r="P125" i="14"/>
  <c r="P46" i="14"/>
  <c r="P158" i="14"/>
  <c r="P94" i="14"/>
  <c r="P126" i="16"/>
  <c r="P72" i="16"/>
  <c r="P56" i="16"/>
  <c r="P29" i="14"/>
  <c r="P48" i="14"/>
  <c r="P72" i="14"/>
  <c r="P110" i="14"/>
  <c r="P205" i="14"/>
  <c r="P179" i="14"/>
  <c r="F241" i="14" l="1"/>
  <c r="F268" i="16" l="1"/>
  <c r="F304" i="16"/>
  <c r="F308" i="16"/>
  <c r="F336" i="16"/>
  <c r="F352" i="16"/>
  <c r="F356" i="16"/>
  <c r="F360" i="16"/>
  <c r="F364" i="16"/>
  <c r="F368" i="16"/>
  <c r="F372" i="16"/>
  <c r="F376" i="16"/>
  <c r="F380" i="16"/>
  <c r="F384" i="16"/>
  <c r="F388" i="16"/>
  <c r="F392" i="16"/>
  <c r="F396" i="16"/>
  <c r="F400" i="16"/>
  <c r="F404" i="16"/>
  <c r="F408" i="16"/>
  <c r="F412" i="16"/>
  <c r="F416" i="16"/>
  <c r="F420" i="16"/>
  <c r="F424" i="16"/>
  <c r="F428" i="16"/>
  <c r="F432" i="16"/>
  <c r="F436" i="16"/>
  <c r="F440" i="16"/>
  <c r="F444" i="16"/>
  <c r="F448" i="16"/>
  <c r="F452" i="16"/>
  <c r="F456" i="16"/>
  <c r="F460" i="16"/>
  <c r="F464" i="16"/>
  <c r="F468" i="16"/>
  <c r="F472" i="16"/>
  <c r="F476" i="16"/>
  <c r="F280" i="16"/>
  <c r="F284" i="16"/>
  <c r="F288" i="16"/>
  <c r="F292" i="16"/>
  <c r="F296" i="16"/>
  <c r="F300" i="16"/>
  <c r="F324" i="16"/>
  <c r="F344" i="16"/>
  <c r="F348" i="16"/>
  <c r="F212" i="16"/>
  <c r="F224" i="16"/>
  <c r="F232" i="16"/>
  <c r="F248" i="16"/>
  <c r="F256" i="16"/>
  <c r="F260" i="16"/>
  <c r="F264" i="16"/>
  <c r="F267" i="16"/>
  <c r="F271" i="16"/>
  <c r="F275" i="16"/>
  <c r="F279" i="16"/>
  <c r="F283" i="16"/>
  <c r="F287" i="16"/>
  <c r="F291" i="16"/>
  <c r="F295" i="16"/>
  <c r="F299" i="16"/>
  <c r="F303" i="16"/>
  <c r="F307" i="16"/>
  <c r="F311" i="16"/>
  <c r="F315" i="16"/>
  <c r="F319" i="16"/>
  <c r="F323" i="16"/>
  <c r="F327" i="16"/>
  <c r="F331" i="16"/>
  <c r="F335" i="16"/>
  <c r="F339" i="16"/>
  <c r="F343" i="16"/>
  <c r="F347" i="16"/>
  <c r="F351" i="16"/>
  <c r="F355" i="16"/>
  <c r="F359" i="16"/>
  <c r="F363" i="16"/>
  <c r="F367" i="16"/>
  <c r="F371" i="16"/>
  <c r="F375" i="16"/>
  <c r="F379" i="16"/>
  <c r="F383" i="16"/>
  <c r="F387" i="16"/>
  <c r="F391" i="16"/>
  <c r="F395" i="16"/>
  <c r="F399" i="16"/>
  <c r="F403" i="16"/>
  <c r="F407" i="16"/>
  <c r="F411" i="16"/>
  <c r="F415" i="16"/>
  <c r="F419" i="16"/>
  <c r="F423" i="16"/>
  <c r="F427" i="16"/>
  <c r="F431" i="16"/>
  <c r="F435" i="16"/>
  <c r="F439" i="16"/>
  <c r="F443" i="16"/>
  <c r="F447" i="16"/>
  <c r="F451" i="16"/>
  <c r="F455" i="16"/>
  <c r="F459" i="16"/>
  <c r="F463" i="16"/>
  <c r="F467" i="16"/>
  <c r="F471" i="16"/>
  <c r="F475" i="16"/>
  <c r="F479" i="16"/>
  <c r="F231" i="16"/>
  <c r="F247" i="16"/>
  <c r="F251" i="16"/>
  <c r="F276" i="16"/>
  <c r="F216" i="16"/>
  <c r="F240" i="16"/>
  <c r="F219" i="16"/>
  <c r="F239" i="16"/>
  <c r="F243" i="16"/>
  <c r="F270" i="16"/>
  <c r="F274" i="16"/>
  <c r="F278" i="16"/>
  <c r="F282" i="16"/>
  <c r="F286" i="16"/>
  <c r="F290" i="16"/>
  <c r="F294" i="16"/>
  <c r="F298" i="16"/>
  <c r="F302" i="16"/>
  <c r="F306" i="16"/>
  <c r="F310" i="16"/>
  <c r="F314" i="16"/>
  <c r="F318" i="16"/>
  <c r="F322" i="16"/>
  <c r="F326" i="16"/>
  <c r="F330" i="16"/>
  <c r="F334" i="16"/>
  <c r="F338" i="16"/>
  <c r="F342" i="16"/>
  <c r="F346" i="16"/>
  <c r="F350" i="16"/>
  <c r="F354" i="16"/>
  <c r="F358" i="16"/>
  <c r="F362" i="16"/>
  <c r="F366" i="16"/>
  <c r="F370" i="16"/>
  <c r="F374" i="16"/>
  <c r="F378" i="16"/>
  <c r="F382" i="16"/>
  <c r="F386" i="16"/>
  <c r="F390" i="16"/>
  <c r="F394" i="16"/>
  <c r="F398" i="16"/>
  <c r="F402" i="16"/>
  <c r="F406" i="16"/>
  <c r="F410" i="16"/>
  <c r="F414" i="16"/>
  <c r="F418" i="16"/>
  <c r="F422" i="16"/>
  <c r="F426" i="16"/>
  <c r="F430" i="16"/>
  <c r="F434" i="16"/>
  <c r="F438" i="16"/>
  <c r="F442" i="16"/>
  <c r="F446" i="16"/>
  <c r="F450" i="16"/>
  <c r="F454" i="16"/>
  <c r="F458" i="16"/>
  <c r="F462" i="16"/>
  <c r="F466" i="16"/>
  <c r="F470" i="16"/>
  <c r="F474" i="16"/>
  <c r="F478" i="16"/>
  <c r="F223" i="16"/>
  <c r="F259" i="16"/>
  <c r="F214" i="16"/>
  <c r="F218" i="16"/>
  <c r="F222" i="16"/>
  <c r="F226" i="16"/>
  <c r="F230" i="16"/>
  <c r="F234" i="16"/>
  <c r="F238" i="16"/>
  <c r="F242" i="16"/>
  <c r="F246" i="16"/>
  <c r="F250" i="16"/>
  <c r="F254" i="16"/>
  <c r="F258" i="16"/>
  <c r="F262" i="16"/>
  <c r="F266" i="16"/>
  <c r="F269" i="16"/>
  <c r="F273" i="16"/>
  <c r="F277" i="16"/>
  <c r="F281" i="16"/>
  <c r="F285" i="16"/>
  <c r="F289" i="16"/>
  <c r="F293" i="16"/>
  <c r="F297" i="16"/>
  <c r="F301" i="16"/>
  <c r="F305" i="16"/>
  <c r="F309" i="16"/>
  <c r="F313" i="16"/>
  <c r="F317" i="16"/>
  <c r="F321" i="16"/>
  <c r="F325" i="16"/>
  <c r="F329" i="16"/>
  <c r="F333" i="16"/>
  <c r="F337" i="16"/>
  <c r="F341" i="16"/>
  <c r="F345" i="16"/>
  <c r="F349" i="16"/>
  <c r="F353" i="16"/>
  <c r="F357" i="16"/>
  <c r="F361" i="16"/>
  <c r="F365" i="16"/>
  <c r="F369" i="16"/>
  <c r="F373" i="16"/>
  <c r="F377" i="16"/>
  <c r="F381" i="16"/>
  <c r="F385" i="16"/>
  <c r="F389" i="16"/>
  <c r="F393" i="16"/>
  <c r="F397" i="16"/>
  <c r="F401" i="16"/>
  <c r="F405" i="16"/>
  <c r="F409" i="16"/>
  <c r="F413" i="16"/>
  <c r="F417" i="16"/>
  <c r="F421" i="16"/>
  <c r="F425" i="16"/>
  <c r="F429" i="16"/>
  <c r="F433" i="16"/>
  <c r="F437" i="16"/>
  <c r="F441" i="16"/>
  <c r="F445" i="16"/>
  <c r="F449" i="16"/>
  <c r="F453" i="16"/>
  <c r="F457" i="16"/>
  <c r="F461" i="16"/>
  <c r="F465" i="16"/>
  <c r="F469" i="16"/>
  <c r="F473" i="16"/>
  <c r="F477" i="16"/>
  <c r="F272" i="16"/>
  <c r="F312" i="16"/>
  <c r="F316" i="16"/>
  <c r="F320" i="16"/>
  <c r="F328" i="16"/>
  <c r="F332" i="16"/>
  <c r="F340" i="16"/>
  <c r="F220" i="16"/>
  <c r="F228" i="16"/>
  <c r="F236" i="16"/>
  <c r="F252" i="16"/>
  <c r="F215" i="16"/>
  <c r="F255" i="16"/>
  <c r="F263" i="16"/>
  <c r="F213" i="16"/>
  <c r="F217" i="16"/>
  <c r="F221" i="16"/>
  <c r="F225" i="16"/>
  <c r="F229" i="16"/>
  <c r="F233" i="16"/>
  <c r="F237" i="16"/>
  <c r="F241" i="16"/>
  <c r="F245" i="16"/>
  <c r="F249" i="16"/>
  <c r="F253" i="16"/>
  <c r="F257" i="16"/>
  <c r="F261" i="16"/>
  <c r="F265" i="16"/>
  <c r="F244" i="16"/>
  <c r="F227" i="16"/>
  <c r="F235" i="16"/>
  <c r="O474" i="16"/>
  <c r="O466" i="16"/>
  <c r="O452" i="16"/>
  <c r="O442" i="16"/>
  <c r="O428" i="16"/>
  <c r="O418" i="16"/>
  <c r="O404" i="16"/>
  <c r="O394" i="16"/>
  <c r="O380" i="16"/>
  <c r="O370" i="16"/>
  <c r="O356" i="16"/>
  <c r="O346" i="16"/>
  <c r="O332" i="16"/>
  <c r="O322" i="16"/>
  <c r="O308" i="16"/>
  <c r="O298" i="16"/>
  <c r="O284" i="16"/>
  <c r="O274" i="16"/>
  <c r="O260" i="16"/>
  <c r="O250" i="16"/>
  <c r="O236" i="16"/>
  <c r="O220" i="16"/>
  <c r="O473" i="16"/>
  <c r="O461" i="16"/>
  <c r="O451" i="16"/>
  <c r="O437" i="16"/>
  <c r="O427" i="16"/>
  <c r="O413" i="16"/>
  <c r="O403" i="16"/>
  <c r="O389" i="16"/>
  <c r="O379" i="16"/>
  <c r="O365" i="16"/>
  <c r="O355" i="16"/>
  <c r="O341" i="16"/>
  <c r="O331" i="16"/>
  <c r="O317" i="16"/>
  <c r="O307" i="16"/>
  <c r="O293" i="16"/>
  <c r="O283" i="16"/>
  <c r="O269" i="16"/>
  <c r="O259" i="16"/>
  <c r="O245" i="16"/>
  <c r="O229" i="16"/>
  <c r="O218" i="16"/>
  <c r="O476" i="16"/>
  <c r="O469" i="16"/>
  <c r="O460" i="16"/>
  <c r="O445" i="16"/>
  <c r="O436" i="16"/>
  <c r="O421" i="16"/>
  <c r="O412" i="16"/>
  <c r="O397" i="16"/>
  <c r="O388" i="16"/>
  <c r="O373" i="16"/>
  <c r="O364" i="16"/>
  <c r="O349" i="16"/>
  <c r="O340" i="16"/>
  <c r="O325" i="16"/>
  <c r="O316" i="16"/>
  <c r="O301" i="16"/>
  <c r="O292" i="16"/>
  <c r="O277" i="16"/>
  <c r="O268" i="16"/>
  <c r="O253" i="16"/>
  <c r="O244" i="16"/>
  <c r="O226" i="16"/>
  <c r="O212" i="16"/>
  <c r="O459" i="16"/>
  <c r="O453" i="16"/>
  <c r="O450" i="16"/>
  <c r="O444" i="16"/>
  <c r="O435" i="16"/>
  <c r="O429" i="16"/>
  <c r="O426" i="16"/>
  <c r="O420" i="16"/>
  <c r="O411" i="16"/>
  <c r="O405" i="16"/>
  <c r="O402" i="16"/>
  <c r="O396" i="16"/>
  <c r="O387" i="16"/>
  <c r="O381" i="16"/>
  <c r="O378" i="16"/>
  <c r="O372" i="16"/>
  <c r="O363" i="16"/>
  <c r="O357" i="16"/>
  <c r="O354" i="16"/>
  <c r="O348" i="16"/>
  <c r="O339" i="16"/>
  <c r="O333" i="16"/>
  <c r="O330" i="16"/>
  <c r="O324" i="16"/>
  <c r="O315" i="16"/>
  <c r="O309" i="16"/>
  <c r="O306" i="16"/>
  <c r="O300" i="16"/>
  <c r="O291" i="16"/>
  <c r="O285" i="16"/>
  <c r="O282" i="16"/>
  <c r="O276" i="16"/>
  <c r="O267" i="16"/>
  <c r="O261" i="16"/>
  <c r="O258" i="16"/>
  <c r="O252" i="16"/>
  <c r="O243" i="16"/>
  <c r="O237" i="16"/>
  <c r="O234" i="16"/>
  <c r="O228" i="16"/>
  <c r="O213" i="16"/>
  <c r="O475" i="16"/>
  <c r="O467" i="16"/>
  <c r="O458" i="16"/>
  <c r="O443" i="16"/>
  <c r="O434" i="16"/>
  <c r="O419" i="16"/>
  <c r="O410" i="16"/>
  <c r="O395" i="16"/>
  <c r="O386" i="16"/>
  <c r="O371" i="16"/>
  <c r="O362" i="16"/>
  <c r="O347" i="16"/>
  <c r="O338" i="16"/>
  <c r="O323" i="16"/>
  <c r="O314" i="16"/>
  <c r="O299" i="16"/>
  <c r="O290" i="16"/>
  <c r="O275" i="16"/>
  <c r="O266" i="16"/>
  <c r="O251" i="16"/>
  <c r="O242" i="16"/>
  <c r="O221" i="16"/>
  <c r="O211" i="16"/>
  <c r="O479" i="16"/>
  <c r="O477" i="16"/>
  <c r="O468" i="16"/>
  <c r="P435" i="16" l="1"/>
  <c r="P411" i="16"/>
  <c r="P363" i="16"/>
  <c r="P339" i="16"/>
  <c r="P291" i="16"/>
  <c r="P267" i="16"/>
  <c r="P332" i="16"/>
  <c r="P477" i="16"/>
  <c r="P453" i="16"/>
  <c r="P429" i="16"/>
  <c r="P405" i="16"/>
  <c r="P381" i="16"/>
  <c r="P357" i="16"/>
  <c r="P333" i="16"/>
  <c r="P309" i="16"/>
  <c r="P285" i="16"/>
  <c r="P266" i="16"/>
  <c r="P242" i="16"/>
  <c r="P218" i="16"/>
  <c r="P253" i="16"/>
  <c r="P229" i="16"/>
  <c r="P340" i="16"/>
  <c r="P211" i="16"/>
  <c r="P474" i="16"/>
  <c r="P450" i="16"/>
  <c r="P426" i="16"/>
  <c r="P402" i="16"/>
  <c r="P378" i="16"/>
  <c r="P354" i="16"/>
  <c r="P330" i="16"/>
  <c r="P306" i="16"/>
  <c r="P282" i="16"/>
  <c r="P300" i="16"/>
  <c r="P476" i="16"/>
  <c r="P452" i="16"/>
  <c r="P428" i="16"/>
  <c r="P404" i="16"/>
  <c r="P380" i="16"/>
  <c r="P356" i="16"/>
  <c r="L66" i="20"/>
  <c r="M66" i="20" s="1"/>
  <c r="L64" i="20"/>
  <c r="M64" i="20" s="1"/>
  <c r="L67" i="20"/>
  <c r="M67" i="20" s="1"/>
  <c r="L48" i="20"/>
  <c r="M48" i="20" s="1"/>
  <c r="L68" i="20"/>
  <c r="M68" i="20" s="1"/>
  <c r="P387" i="16"/>
  <c r="P315" i="16"/>
  <c r="P244" i="16"/>
  <c r="P245" i="16"/>
  <c r="P221" i="16"/>
  <c r="P252" i="16"/>
  <c r="P473" i="16"/>
  <c r="P466" i="16"/>
  <c r="P442" i="16"/>
  <c r="P418" i="16"/>
  <c r="P394" i="16"/>
  <c r="P370" i="16"/>
  <c r="P346" i="16"/>
  <c r="P322" i="16"/>
  <c r="P298" i="16"/>
  <c r="P274" i="16"/>
  <c r="P479" i="16"/>
  <c r="L65" i="20" s="1"/>
  <c r="M65" i="20" s="1"/>
  <c r="P212" i="16"/>
  <c r="P292" i="16"/>
  <c r="P468" i="16"/>
  <c r="P444" i="16"/>
  <c r="P420" i="16"/>
  <c r="P396" i="16"/>
  <c r="L57" i="20" s="1"/>
  <c r="M57" i="20" s="1"/>
  <c r="P372" i="16"/>
  <c r="P459" i="16"/>
  <c r="P236" i="16"/>
  <c r="P469" i="16"/>
  <c r="P445" i="16"/>
  <c r="P421" i="16"/>
  <c r="P397" i="16"/>
  <c r="P373" i="16"/>
  <c r="P349" i="16"/>
  <c r="P325" i="16"/>
  <c r="P301" i="16"/>
  <c r="P277" i="16"/>
  <c r="P258" i="16"/>
  <c r="P234" i="16"/>
  <c r="P259" i="16"/>
  <c r="P276" i="16"/>
  <c r="P475" i="16"/>
  <c r="P451" i="16"/>
  <c r="P427" i="16"/>
  <c r="P403" i="16"/>
  <c r="P379" i="16"/>
  <c r="P355" i="16"/>
  <c r="P331" i="16"/>
  <c r="P307" i="16"/>
  <c r="P283" i="16"/>
  <c r="P260" i="16"/>
  <c r="P348" i="16"/>
  <c r="P308" i="16"/>
  <c r="P261" i="16"/>
  <c r="P237" i="16"/>
  <c r="P213" i="16"/>
  <c r="P228" i="16"/>
  <c r="P316" i="16"/>
  <c r="P458" i="16"/>
  <c r="P434" i="16"/>
  <c r="P410" i="16"/>
  <c r="P386" i="16"/>
  <c r="P362" i="16"/>
  <c r="P338" i="16"/>
  <c r="P314" i="16"/>
  <c r="P290" i="16"/>
  <c r="P243" i="16"/>
  <c r="P284" i="16"/>
  <c r="P460" i="16"/>
  <c r="P436" i="16"/>
  <c r="P412" i="16"/>
  <c r="P388" i="16"/>
  <c r="P364" i="16"/>
  <c r="P220" i="16"/>
  <c r="P461" i="16"/>
  <c r="P437" i="16"/>
  <c r="P413" i="16"/>
  <c r="P389" i="16"/>
  <c r="P365" i="16"/>
  <c r="P341" i="16"/>
  <c r="P317" i="16"/>
  <c r="P293" i="16"/>
  <c r="P269" i="16"/>
  <c r="P250" i="16"/>
  <c r="P226" i="16"/>
  <c r="P251" i="16"/>
  <c r="P467" i="16"/>
  <c r="P443" i="16"/>
  <c r="P419" i="16"/>
  <c r="P395" i="16"/>
  <c r="P371" i="16"/>
  <c r="P347" i="16"/>
  <c r="P323" i="16"/>
  <c r="P299" i="16"/>
  <c r="P275" i="16"/>
  <c r="P324" i="16"/>
  <c r="P268" i="16"/>
  <c r="O214" i="16"/>
  <c r="P214" i="16" s="1"/>
  <c r="O342" i="16"/>
  <c r="P342" i="16" s="1"/>
  <c r="O470" i="16"/>
  <c r="P470" i="16" s="1"/>
  <c r="O239" i="16"/>
  <c r="P239" i="16" s="1"/>
  <c r="O335" i="16"/>
  <c r="P335" i="16" s="1"/>
  <c r="O463" i="16"/>
  <c r="P463" i="16" s="1"/>
  <c r="O272" i="16"/>
  <c r="P272" i="16" s="1"/>
  <c r="O368" i="16"/>
  <c r="P368" i="16" s="1"/>
  <c r="O464" i="16"/>
  <c r="P464" i="16" s="1"/>
  <c r="O297" i="16"/>
  <c r="P297" i="16" s="1"/>
  <c r="O361" i="16"/>
  <c r="P361" i="16" s="1"/>
  <c r="O217" i="16"/>
  <c r="P217" i="16" s="1"/>
  <c r="O227" i="16"/>
  <c r="P227" i="16" s="1"/>
  <c r="O294" i="16"/>
  <c r="P294" i="16" s="1"/>
  <c r="O390" i="16"/>
  <c r="P390" i="16" s="1"/>
  <c r="O454" i="16"/>
  <c r="P454" i="16" s="1"/>
  <c r="O255" i="16"/>
  <c r="P255" i="16" s="1"/>
  <c r="O351" i="16"/>
  <c r="P351" i="16" s="1"/>
  <c r="O415" i="16"/>
  <c r="P415" i="16" s="1"/>
  <c r="O425" i="16"/>
  <c r="P425" i="16" s="1"/>
  <c r="O256" i="16"/>
  <c r="P256" i="16" s="1"/>
  <c r="O320" i="16"/>
  <c r="P320" i="16" s="1"/>
  <c r="O384" i="16"/>
  <c r="P384" i="16" s="1"/>
  <c r="O448" i="16"/>
  <c r="P448" i="16" s="1"/>
  <c r="O241" i="14"/>
  <c r="P241" i="14" s="1"/>
  <c r="P243" i="14" s="1"/>
  <c r="J39" i="20" s="1"/>
  <c r="K39" i="20" s="1"/>
  <c r="K29" i="20" s="1"/>
  <c r="O281" i="16"/>
  <c r="P281" i="16" s="1"/>
  <c r="O345" i="16"/>
  <c r="P345" i="16" s="1"/>
  <c r="O409" i="16"/>
  <c r="P409" i="16" s="1"/>
  <c r="O235" i="16"/>
  <c r="P235" i="16" s="1"/>
  <c r="O238" i="16"/>
  <c r="P238" i="16" s="1"/>
  <c r="O270" i="16"/>
  <c r="P270" i="16" s="1"/>
  <c r="O302" i="16"/>
  <c r="P302" i="16" s="1"/>
  <c r="O334" i="16"/>
  <c r="P334" i="16" s="1"/>
  <c r="O366" i="16"/>
  <c r="P366" i="16" s="1"/>
  <c r="O398" i="16"/>
  <c r="P398" i="16" s="1"/>
  <c r="O430" i="16"/>
  <c r="P430" i="16" s="1"/>
  <c r="O462" i="16"/>
  <c r="P462" i="16" s="1"/>
  <c r="O231" i="16"/>
  <c r="P231" i="16" s="1"/>
  <c r="O263" i="16"/>
  <c r="P263" i="16" s="1"/>
  <c r="O295" i="16"/>
  <c r="P295" i="16" s="1"/>
  <c r="O327" i="16"/>
  <c r="P327" i="16" s="1"/>
  <c r="O359" i="16"/>
  <c r="P359" i="16" s="1"/>
  <c r="O391" i="16"/>
  <c r="P391" i="16" s="1"/>
  <c r="O423" i="16"/>
  <c r="P423" i="16" s="1"/>
  <c r="O455" i="16"/>
  <c r="P455" i="16" s="1"/>
  <c r="O457" i="16"/>
  <c r="P457" i="16" s="1"/>
  <c r="O232" i="16"/>
  <c r="P232" i="16" s="1"/>
  <c r="O264" i="16"/>
  <c r="P264" i="16" s="1"/>
  <c r="O296" i="16"/>
  <c r="P296" i="16" s="1"/>
  <c r="O328" i="16"/>
  <c r="P328" i="16" s="1"/>
  <c r="O360" i="16"/>
  <c r="P360" i="16" s="1"/>
  <c r="O392" i="16"/>
  <c r="P392" i="16" s="1"/>
  <c r="O424" i="16"/>
  <c r="P424" i="16" s="1"/>
  <c r="O456" i="16"/>
  <c r="P456" i="16" s="1"/>
  <c r="O225" i="16"/>
  <c r="P225" i="16" s="1"/>
  <c r="O257" i="16"/>
  <c r="P257" i="16" s="1"/>
  <c r="O289" i="16"/>
  <c r="P289" i="16" s="1"/>
  <c r="O321" i="16"/>
  <c r="P321" i="16" s="1"/>
  <c r="O353" i="16"/>
  <c r="P353" i="16" s="1"/>
  <c r="O385" i="16"/>
  <c r="P385" i="16" s="1"/>
  <c r="O417" i="16"/>
  <c r="P417" i="16" s="1"/>
  <c r="O465" i="16"/>
  <c r="P465" i="16" s="1"/>
  <c r="O246" i="16"/>
  <c r="P246" i="16" s="1"/>
  <c r="O406" i="16"/>
  <c r="P406" i="16" s="1"/>
  <c r="O303" i="16"/>
  <c r="P303" i="16" s="1"/>
  <c r="O431" i="16"/>
  <c r="P431" i="16" s="1"/>
  <c r="O240" i="16"/>
  <c r="P240" i="16" s="1"/>
  <c r="O400" i="16"/>
  <c r="P400" i="16" s="1"/>
  <c r="O265" i="16"/>
  <c r="P265" i="16" s="1"/>
  <c r="O433" i="16"/>
  <c r="P433" i="16" s="1"/>
  <c r="O310" i="16"/>
  <c r="P310" i="16" s="1"/>
  <c r="O438" i="16"/>
  <c r="P438" i="16" s="1"/>
  <c r="O367" i="16"/>
  <c r="P367" i="16" s="1"/>
  <c r="O336" i="16"/>
  <c r="P336" i="16" s="1"/>
  <c r="L47" i="20" s="1"/>
  <c r="M47" i="20" s="1"/>
  <c r="O219" i="16"/>
  <c r="P219" i="16" s="1"/>
  <c r="O222" i="16"/>
  <c r="P222" i="16" s="1"/>
  <c r="O254" i="16"/>
  <c r="P254" i="16" s="1"/>
  <c r="O286" i="16"/>
  <c r="P286" i="16" s="1"/>
  <c r="O318" i="16"/>
  <c r="P318" i="16" s="1"/>
  <c r="O350" i="16"/>
  <c r="P350" i="16" s="1"/>
  <c r="O382" i="16"/>
  <c r="P382" i="16" s="1"/>
  <c r="O414" i="16"/>
  <c r="P414" i="16" s="1"/>
  <c r="O446" i="16"/>
  <c r="P446" i="16" s="1"/>
  <c r="O478" i="16"/>
  <c r="P478" i="16" s="1"/>
  <c r="O247" i="16"/>
  <c r="P247" i="16" s="1"/>
  <c r="O279" i="16"/>
  <c r="P279" i="16" s="1"/>
  <c r="O311" i="16"/>
  <c r="P311" i="16" s="1"/>
  <c r="O343" i="16"/>
  <c r="P343" i="16" s="1"/>
  <c r="O375" i="16"/>
  <c r="P375" i="16" s="1"/>
  <c r="O407" i="16"/>
  <c r="P407" i="16" s="1"/>
  <c r="O439" i="16"/>
  <c r="P439" i="16" s="1"/>
  <c r="O471" i="16"/>
  <c r="P471" i="16" s="1"/>
  <c r="O216" i="16"/>
  <c r="P216" i="16" s="1"/>
  <c r="O248" i="16"/>
  <c r="P248" i="16" s="1"/>
  <c r="O280" i="16"/>
  <c r="P280" i="16" s="1"/>
  <c r="O312" i="16"/>
  <c r="P312" i="16" s="1"/>
  <c r="O344" i="16"/>
  <c r="P344" i="16" s="1"/>
  <c r="O376" i="16"/>
  <c r="P376" i="16" s="1"/>
  <c r="O408" i="16"/>
  <c r="P408" i="16" s="1"/>
  <c r="O440" i="16"/>
  <c r="P440" i="16" s="1"/>
  <c r="O472" i="16"/>
  <c r="P472" i="16" s="1"/>
  <c r="O241" i="16"/>
  <c r="P241" i="16" s="1"/>
  <c r="O273" i="16"/>
  <c r="P273" i="16" s="1"/>
  <c r="O305" i="16"/>
  <c r="P305" i="16" s="1"/>
  <c r="O337" i="16"/>
  <c r="P337" i="16" s="1"/>
  <c r="O369" i="16"/>
  <c r="P369" i="16" s="1"/>
  <c r="O401" i="16"/>
  <c r="P401" i="16" s="1"/>
  <c r="O441" i="16"/>
  <c r="P441" i="16" s="1"/>
  <c r="O278" i="16"/>
  <c r="P278" i="16" s="1"/>
  <c r="O374" i="16"/>
  <c r="P374" i="16" s="1"/>
  <c r="O271" i="16"/>
  <c r="P271" i="16" s="1"/>
  <c r="O399" i="16"/>
  <c r="P399" i="16" s="1"/>
  <c r="O215" i="16"/>
  <c r="P215" i="16" s="1"/>
  <c r="O304" i="16"/>
  <c r="P304" i="16" s="1"/>
  <c r="O432" i="16"/>
  <c r="P432" i="16" s="1"/>
  <c r="O233" i="16"/>
  <c r="P233" i="16" s="1"/>
  <c r="O329" i="16"/>
  <c r="P329" i="16" s="1"/>
  <c r="O393" i="16"/>
  <c r="P393" i="16" s="1"/>
  <c r="O230" i="16"/>
  <c r="P230" i="16" s="1"/>
  <c r="O262" i="16"/>
  <c r="P262" i="16" s="1"/>
  <c r="O326" i="16"/>
  <c r="P326" i="16" s="1"/>
  <c r="O358" i="16"/>
  <c r="P358" i="16" s="1"/>
  <c r="O422" i="16"/>
  <c r="P422" i="16" s="1"/>
  <c r="O223" i="16"/>
  <c r="P223" i="16" s="1"/>
  <c r="O287" i="16"/>
  <c r="P287" i="16" s="1"/>
  <c r="O319" i="16"/>
  <c r="P319" i="16" s="1"/>
  <c r="O383" i="16"/>
  <c r="P383" i="16" s="1"/>
  <c r="O447" i="16"/>
  <c r="P447" i="16" s="1"/>
  <c r="O224" i="16"/>
  <c r="P224" i="16" s="1"/>
  <c r="O288" i="16"/>
  <c r="P288" i="16" s="1"/>
  <c r="O352" i="16"/>
  <c r="P352" i="16" s="1"/>
  <c r="O416" i="16"/>
  <c r="P416" i="16" s="1"/>
  <c r="O249" i="16"/>
  <c r="P249" i="16" s="1"/>
  <c r="O313" i="16"/>
  <c r="P313" i="16" s="1"/>
  <c r="O377" i="16"/>
  <c r="P377" i="16" s="1"/>
  <c r="O449" i="16"/>
  <c r="P449" i="16" s="1"/>
  <c r="L58" i="20" l="1"/>
  <c r="M58" i="20" s="1"/>
  <c r="L53" i="20"/>
  <c r="M53" i="20" s="1"/>
  <c r="L61" i="20"/>
  <c r="M61" i="20" s="1"/>
  <c r="L59" i="20"/>
  <c r="M59" i="20" s="1"/>
  <c r="L49" i="20"/>
  <c r="M49" i="20" s="1"/>
  <c r="L42" i="20"/>
  <c r="M42" i="20" s="1"/>
  <c r="L46" i="20"/>
  <c r="M46" i="20" s="1"/>
  <c r="L54" i="20"/>
  <c r="M54" i="20" s="1"/>
  <c r="L45" i="20"/>
  <c r="M45" i="20" s="1"/>
  <c r="L43" i="20"/>
  <c r="M43" i="20" s="1"/>
  <c r="L56" i="20"/>
  <c r="M56" i="20" s="1"/>
  <c r="L52" i="20"/>
  <c r="M52" i="20" s="1"/>
  <c r="L63" i="20"/>
  <c r="M63" i="20" s="1"/>
  <c r="L39" i="20"/>
  <c r="M39" i="20" s="1"/>
  <c r="L50" i="20"/>
  <c r="M50" i="20" s="1"/>
  <c r="L62" i="20"/>
  <c r="M62" i="20" s="1"/>
  <c r="L51" i="20"/>
  <c r="M51" i="20" s="1"/>
  <c r="L44" i="20"/>
  <c r="M44" i="20" s="1"/>
  <c r="L55" i="20"/>
  <c r="M55" i="20" s="1"/>
  <c r="L40" i="20"/>
  <c r="M40" i="20" s="1"/>
  <c r="L60" i="20"/>
  <c r="M60" i="20" s="1"/>
  <c r="L41" i="20"/>
  <c r="M41" i="20" s="1"/>
  <c r="H20" i="20"/>
  <c r="M29" i="20" l="1"/>
  <c r="J20" i="20" s="1"/>
  <c r="H22" i="20"/>
  <c r="G20" i="25"/>
  <c r="G21" i="25" l="1"/>
  <c r="J22" i="20"/>
  <c r="T69" i="20" l="1"/>
  <c r="U69" i="20" l="1"/>
  <c r="T70" i="20"/>
  <c r="U70" i="20" s="1"/>
  <c r="T71" i="20" l="1"/>
  <c r="U71" i="20" s="1"/>
  <c r="T72" i="20" l="1"/>
  <c r="U72" i="20" s="1"/>
  <c r="T73" i="20" l="1"/>
  <c r="U73" i="20" s="1"/>
  <c r="T74" i="20" l="1"/>
  <c r="U74" i="20" s="1"/>
  <c r="T75" i="20" l="1"/>
  <c r="U75" i="20" s="1"/>
  <c r="T76" i="20" l="1"/>
  <c r="U76" i="20" s="1"/>
  <c r="T77" i="20" l="1"/>
  <c r="U77" i="20" s="1"/>
  <c r="T78" i="20" l="1"/>
  <c r="U78" i="20" s="1"/>
  <c r="T79" i="20" l="1"/>
  <c r="U79" i="20" s="1"/>
  <c r="T80" i="20" l="1"/>
  <c r="U80" i="20" s="1"/>
  <c r="T81" i="20" l="1"/>
  <c r="U81" i="20" s="1"/>
  <c r="T82" i="20" l="1"/>
  <c r="U82" i="20" s="1"/>
  <c r="T83" i="20" l="1"/>
  <c r="U83" i="20" s="1"/>
  <c r="T84" i="20" l="1"/>
  <c r="U84" i="20" s="1"/>
  <c r="T85" i="20" l="1"/>
  <c r="U85" i="20" s="1"/>
  <c r="T86" i="20" l="1"/>
  <c r="U86" i="20" s="1"/>
  <c r="T87" i="20" l="1"/>
  <c r="U87" i="20" s="1"/>
  <c r="T88" i="20" l="1"/>
  <c r="U88" i="20" s="1"/>
  <c r="T89" i="20" l="1"/>
  <c r="U89" i="20" s="1"/>
  <c r="T90" i="20" l="1"/>
  <c r="U90" i="20" s="1"/>
  <c r="T91" i="20" l="1"/>
  <c r="U91" i="20" s="1"/>
  <c r="T92" i="20" l="1"/>
  <c r="U92" i="20" s="1"/>
  <c r="T93" i="20" l="1"/>
  <c r="U93" i="20" s="1"/>
  <c r="T94" i="20" l="1"/>
  <c r="U94" i="20" s="1"/>
  <c r="T95" i="20" l="1"/>
  <c r="U95" i="20" s="1"/>
  <c r="T96" i="20" l="1"/>
  <c r="U96" i="20" s="1"/>
  <c r="T97" i="20" l="1"/>
  <c r="U97" i="20" s="1"/>
  <c r="T98" i="20" l="1"/>
  <c r="U98" i="20" l="1"/>
  <c r="U29" i="20" s="1"/>
  <c r="L20" i="20" s="1"/>
  <c r="L22" i="20" s="1"/>
  <c r="C22" i="20" s="1"/>
  <c r="G19" i="25" s="1"/>
  <c r="J6" i="25" s="1"/>
  <c r="T36" i="20"/>
  <c r="G26" i="25" l="1"/>
  <c r="J10"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 McLennan</author>
  </authors>
  <commentList>
    <comment ref="F19" authorId="0" shapeId="0" xr:uid="{00000000-0006-0000-0300-000001000000}">
      <text>
        <r>
          <rPr>
            <b/>
            <sz val="9"/>
            <color indexed="81"/>
            <rFont val="Tahoma"/>
            <family val="2"/>
          </rPr>
          <t>IPART:</t>
        </r>
        <r>
          <rPr>
            <sz val="9"/>
            <color indexed="81"/>
            <rFont val="Tahoma"/>
            <family val="2"/>
          </rPr>
          <t xml:space="preserve">
Either enter the Headworks/ET value calculated for the relevant service and system, or link to your agency's workings on the Headwork assets worksheet.</t>
        </r>
      </text>
    </comment>
    <comment ref="G19" authorId="0" shapeId="0" xr:uid="{00000000-0006-0000-0300-000002000000}">
      <text>
        <r>
          <rPr>
            <b/>
            <sz val="9"/>
            <color indexed="81"/>
            <rFont val="Tahoma"/>
            <family val="2"/>
          </rPr>
          <t>IPART:</t>
        </r>
        <r>
          <rPr>
            <sz val="9"/>
            <color indexed="81"/>
            <rFont val="Tahoma"/>
            <family val="2"/>
          </rPr>
          <t xml:space="preserve">
Either enter the Scheme cost allocation/ET value calculated for the relevant service and system, or link to your agency's workings on the Scheme cost allocations worksheet.</t>
        </r>
      </text>
    </comment>
    <comment ref="F22" authorId="0" shapeId="0" xr:uid="{00000000-0006-0000-0300-000003000000}">
      <text>
        <r>
          <rPr>
            <b/>
            <sz val="9"/>
            <color indexed="81"/>
            <rFont val="Tahoma"/>
            <family val="2"/>
          </rPr>
          <t>IPART:</t>
        </r>
        <r>
          <rPr>
            <sz val="9"/>
            <color indexed="81"/>
            <rFont val="Tahoma"/>
            <family val="2"/>
          </rPr>
          <t xml:space="preserve">
The headwork cost per ET has been separated from the main equation given that it will apply to all DSP's in the system for which it is calculated.  This separation reduces the need to capture data, and calculate headworks for each DSP. The relevant assets would be captured in the K1/L1 and K2/L2 sections of the maximum price equation.</t>
        </r>
      </text>
    </comment>
    <comment ref="Q38" authorId="0" shapeId="0" xr:uid="{00000000-0006-0000-0300-000004000000}">
      <text>
        <r>
          <rPr>
            <b/>
            <sz val="9"/>
            <color indexed="81"/>
            <rFont val="Tahoma"/>
            <family val="2"/>
          </rPr>
          <t>IPART:</t>
        </r>
        <r>
          <rPr>
            <sz val="9"/>
            <color indexed="81"/>
            <rFont val="Tahoma"/>
            <family val="2"/>
          </rPr>
          <t xml:space="preserve">
Either enter the R</t>
        </r>
        <r>
          <rPr>
            <vertAlign val="subscript"/>
            <sz val="9"/>
            <color indexed="81"/>
            <rFont val="Tahoma"/>
            <family val="2"/>
          </rPr>
          <t>i</t>
        </r>
        <r>
          <rPr>
            <sz val="9"/>
            <color indexed="81"/>
            <rFont val="Tahoma"/>
            <family val="2"/>
          </rPr>
          <t xml:space="preserve"> values or link to your agency's workings on the 'Reduction amount' worksheet.</t>
        </r>
      </text>
    </comment>
    <comment ref="T38" authorId="0" shapeId="0" xr:uid="{00000000-0006-0000-0300-000005000000}">
      <text>
        <r>
          <rPr>
            <b/>
            <sz val="9"/>
            <color indexed="81"/>
            <rFont val="Tahoma"/>
            <family val="2"/>
          </rPr>
          <t>IPART:</t>
        </r>
        <r>
          <rPr>
            <sz val="9"/>
            <color indexed="81"/>
            <rFont val="Tahoma"/>
            <family val="2"/>
          </rPr>
          <t xml:space="preserve">
Either enter the C</t>
        </r>
        <r>
          <rPr>
            <vertAlign val="subscript"/>
            <sz val="9"/>
            <color indexed="81"/>
            <rFont val="Tahoma"/>
            <family val="2"/>
          </rPr>
          <t>i</t>
        </r>
        <r>
          <rPr>
            <sz val="9"/>
            <color indexed="81"/>
            <rFont val="Tahoma"/>
            <family val="2"/>
          </rPr>
          <t xml:space="preserve"> values or link to your agency's workings on the 'Reduction amount' worksheet.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Greg McLennan</author>
  </authors>
  <commentList>
    <comment ref="H23" authorId="0" shapeId="0" xr:uid="{00000000-0006-0000-0400-000001000000}">
      <text>
        <r>
          <rPr>
            <b/>
            <sz val="9"/>
            <color indexed="81"/>
            <rFont val="Tahoma"/>
            <family val="2"/>
          </rPr>
          <t>IPART:</t>
        </r>
        <r>
          <rPr>
            <sz val="9"/>
            <color indexed="81"/>
            <rFont val="Tahoma"/>
            <family val="2"/>
          </rPr>
          <t xml:space="preserve">
These dates have been set in the 2018 Maximum Price Determination, and should not be changed.</t>
        </r>
      </text>
    </comment>
    <comment ref="H30" authorId="0" shapeId="0" xr:uid="{00000000-0006-0000-0400-000002000000}">
      <text>
        <r>
          <rPr>
            <b/>
            <sz val="9"/>
            <color indexed="81"/>
            <rFont val="Tahoma"/>
            <family val="2"/>
          </rPr>
          <t>IPART:</t>
        </r>
        <r>
          <rPr>
            <sz val="9"/>
            <color indexed="81"/>
            <rFont val="Tahoma"/>
            <family val="2"/>
          </rPr>
          <t xml:space="preserve">
The discount rate for pre-1996 assets and ETs has been set in the 2018 Maximum Price Determination, and should not be changed.</t>
        </r>
      </text>
    </comment>
    <comment ref="H32" authorId="0" shapeId="0" xr:uid="{00000000-0006-0000-0400-000003000000}">
      <text>
        <r>
          <rPr>
            <b/>
            <sz val="9"/>
            <color indexed="81"/>
            <rFont val="Tahoma"/>
            <family val="2"/>
          </rPr>
          <t>IPART:</t>
        </r>
        <r>
          <rPr>
            <sz val="9"/>
            <color indexed="81"/>
            <rFont val="Tahoma"/>
            <family val="2"/>
          </rPr>
          <t xml:space="preserve">
The discount rates for post-1996 commissioned and uncommissioned assets and ETs should be the real pre-tax WACC used in the agencies prevailing water and sewerage price determination.</t>
        </r>
      </text>
    </comment>
    <comment ref="H36" authorId="0" shapeId="0" xr:uid="{00000000-0006-0000-0400-000004000000}">
      <text>
        <r>
          <rPr>
            <b/>
            <sz val="9"/>
            <color indexed="81"/>
            <rFont val="Tahoma"/>
            <family val="2"/>
          </rPr>
          <t>IPART:</t>
        </r>
        <r>
          <rPr>
            <sz val="9"/>
            <color indexed="81"/>
            <rFont val="Tahoma"/>
            <family val="2"/>
          </rPr>
          <t xml:space="preserve">
This is the average residential consumption from the prevailing price review.</t>
        </r>
      </text>
    </comment>
    <comment ref="H38" authorId="0" shapeId="0" xr:uid="{00000000-0006-0000-0400-000005000000}">
      <text>
        <r>
          <rPr>
            <b/>
            <sz val="9"/>
            <color indexed="81"/>
            <rFont val="Tahoma"/>
            <family val="2"/>
          </rPr>
          <t>IPART:</t>
        </r>
        <r>
          <rPr>
            <sz val="9"/>
            <color indexed="81"/>
            <rFont val="Tahoma"/>
            <family val="2"/>
          </rPr>
          <t xml:space="preserve">
The forecast period for ETs and the net operating result has been set in the 2018 Maximum Price Determination, and should not be changed.</t>
        </r>
      </text>
    </comment>
    <comment ref="I40" authorId="0" shapeId="0" xr:uid="{00000000-0006-0000-0400-000006000000}">
      <text>
        <r>
          <rPr>
            <b/>
            <sz val="9"/>
            <color indexed="81"/>
            <rFont val="Tahoma"/>
            <family val="2"/>
          </rPr>
          <t>IPART:</t>
        </r>
        <r>
          <rPr>
            <sz val="9"/>
            <color indexed="81"/>
            <rFont val="Tahoma"/>
            <family val="2"/>
          </rPr>
          <t xml:space="preserve">
All prices and costs should be entered into the template in $ of this financial year.</t>
        </r>
      </text>
    </comment>
    <comment ref="H42" authorId="0" shapeId="0" xr:uid="{00000000-0006-0000-0400-000007000000}">
      <text>
        <r>
          <rPr>
            <b/>
            <sz val="9"/>
            <color indexed="81"/>
            <rFont val="Tahoma"/>
            <family val="2"/>
          </rPr>
          <t>IPART:</t>
        </r>
        <r>
          <rPr>
            <sz val="9"/>
            <color indexed="81"/>
            <rFont val="Tahoma"/>
            <family val="2"/>
          </rPr>
          <t xml:space="preserve">
All prices and costs entered into the IPART designated input ranges in this template must be on this basis.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Greg McLennan</author>
    <author>tc={C6794972-39D1-4D2C-A320-7CEE5C38844E}</author>
  </authors>
  <commentList>
    <comment ref="C21" authorId="0" shapeId="0" xr:uid="{00000000-0006-0000-0500-000001000000}">
      <text>
        <r>
          <rPr>
            <b/>
            <sz val="9"/>
            <color indexed="81"/>
            <rFont val="Tahoma"/>
            <family val="2"/>
          </rPr>
          <t>Greg McLennan:</t>
        </r>
        <r>
          <rPr>
            <sz val="9"/>
            <color indexed="81"/>
            <rFont val="Tahoma"/>
            <family val="2"/>
          </rPr>
          <t xml:space="preserve">
Eg, name or identification number.</t>
        </r>
      </text>
    </comment>
    <comment ref="D21" authorId="0" shapeId="0" xr:uid="{00000000-0006-0000-0500-000002000000}">
      <text>
        <r>
          <rPr>
            <b/>
            <sz val="9"/>
            <color indexed="81"/>
            <rFont val="Tahoma"/>
            <family val="2"/>
          </rPr>
          <t>Greg McLennan:</t>
        </r>
        <r>
          <rPr>
            <sz val="9"/>
            <color indexed="81"/>
            <rFont val="Tahoma"/>
            <family val="2"/>
          </rPr>
          <t xml:space="preserve">
Address nexus to DSP, eg, mains pipe required to transport water from point 'A' to point 'B' to facilitate water distribution in region '1', '2', and '3'.</t>
        </r>
      </text>
    </comment>
    <comment ref="I21" authorId="0" shapeId="0" xr:uid="{00000000-0006-0000-0500-000003000000}">
      <text>
        <r>
          <rPr>
            <b/>
            <sz val="9"/>
            <color indexed="81"/>
            <rFont val="Tahoma"/>
            <family val="2"/>
          </rPr>
          <t>Greg McLennan:</t>
        </r>
        <r>
          <rPr>
            <sz val="9"/>
            <color indexed="81"/>
            <rFont val="Tahoma"/>
            <family val="2"/>
          </rPr>
          <t xml:space="preserve">
This is not the capacity of the asset in ETs, but the number of ETs which the asset will service. The intention is to apportion the cost of the asset over the ETs which will receive a service from the asset.</t>
        </r>
      </text>
    </comment>
    <comment ref="L241" authorId="1" shapeId="0" xr:uid="{C6794972-39D1-4D2C-A320-7CEE5C38844E}">
      <text>
        <t>[Threaded comment]
Your version of Excel allows you to read this threaded comment; however, any edits to it will get removed if the file is opened in a newer version of Excel. Learn more: https://go.microsoft.com/fwlink/?linkid=870924
Comment:
    Changed to 1 as per John M’s advice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Greg McLennan</author>
    <author>tc={BD567BCB-3198-4CB6-B5C6-5EB2A6A5725D}</author>
  </authors>
  <commentList>
    <comment ref="C21" authorId="0" shapeId="0" xr:uid="{00000000-0006-0000-0600-000001000000}">
      <text>
        <r>
          <rPr>
            <b/>
            <sz val="9"/>
            <color indexed="81"/>
            <rFont val="Tahoma"/>
            <family val="2"/>
          </rPr>
          <t>Greg McLennan:</t>
        </r>
        <r>
          <rPr>
            <sz val="9"/>
            <color indexed="81"/>
            <rFont val="Tahoma"/>
            <family val="2"/>
          </rPr>
          <t xml:space="preserve">
Eg, name or identification number.</t>
        </r>
      </text>
    </comment>
    <comment ref="D21" authorId="0" shapeId="0" xr:uid="{00000000-0006-0000-0600-000002000000}">
      <text>
        <r>
          <rPr>
            <b/>
            <sz val="9"/>
            <color indexed="81"/>
            <rFont val="Tahoma"/>
            <family val="2"/>
          </rPr>
          <t>Greg McLennan:</t>
        </r>
        <r>
          <rPr>
            <sz val="9"/>
            <color indexed="81"/>
            <rFont val="Tahoma"/>
            <family val="2"/>
          </rPr>
          <t xml:space="preserve">
Address nexus to DSP, eg, mains pipe required to transport water from point 'A' to point 'B' to facilitate water distribution in region '1', '2', and '3'.</t>
        </r>
      </text>
    </comment>
    <comment ref="I21" authorId="0" shapeId="0" xr:uid="{00000000-0006-0000-0600-000003000000}">
      <text>
        <r>
          <rPr>
            <b/>
            <sz val="9"/>
            <color indexed="81"/>
            <rFont val="Tahoma"/>
            <family val="2"/>
          </rPr>
          <t>Greg McLennan:</t>
        </r>
        <r>
          <rPr>
            <sz val="9"/>
            <color indexed="81"/>
            <rFont val="Tahoma"/>
            <family val="2"/>
          </rPr>
          <t xml:space="preserve">
This is not the capacity of the asset in ETs, but the number of ETs which the asset will service. The intention is to apportion the cost of the asset over the ETs which will receive a service from the asset.</t>
        </r>
      </text>
    </comment>
    <comment ref="L314" authorId="1" shapeId="0" xr:uid="{BD567BCB-3198-4CB6-B5C6-5EB2A6A5725D}">
      <text>
        <t xml:space="preserve">[Threaded comment]
Your version of Excel allows you to read this threaded comment; however, any edits to it will get removed if the file is opened in a newer version of Excel. Learn more: https://go.microsoft.com/fwlink/?linkid=870924
Comment:
    Need to check if it is correct to multiply MEERA value by ‘units’ when these are land assets/easements.
Reply:
    @Kate Beatty  I’ve captured all line items from the FAR - Land orig cost and changed the quantity to 1 as per John M’s advice. How would I go about apportioning the borrowing costs across these land assets? 
</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Greg McLennan</author>
  </authors>
  <commentList>
    <comment ref="AG8" authorId="0" shapeId="0" xr:uid="{00000000-0006-0000-0800-000001000000}">
      <text>
        <r>
          <rPr>
            <b/>
            <sz val="9"/>
            <color indexed="81"/>
            <rFont val="Tahoma"/>
            <family val="2"/>
          </rPr>
          <t>IPART:</t>
        </r>
        <r>
          <rPr>
            <sz val="9"/>
            <color indexed="81"/>
            <rFont val="Tahoma"/>
            <family val="2"/>
          </rPr>
          <t xml:space="preserve">
An agency can enter data for up to 8 different non-residential customer types.</t>
        </r>
      </text>
    </comment>
    <comment ref="C12" authorId="0" shapeId="0" xr:uid="{00000000-0006-0000-0800-000002000000}">
      <text>
        <r>
          <rPr>
            <b/>
            <sz val="9"/>
            <color indexed="81"/>
            <rFont val="Tahoma"/>
            <family val="2"/>
          </rPr>
          <t>IPART:</t>
        </r>
        <r>
          <rPr>
            <sz val="9"/>
            <color indexed="81"/>
            <rFont val="Tahoma"/>
            <family val="2"/>
          </rPr>
          <t xml:space="preserve">
For 1995-96, only enter new ETs from
1 January 1996 to 30 June 1996 for all property types for which ETs can be entered on this worksheet.</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Greg McLennan</author>
  </authors>
  <commentList>
    <comment ref="C21" authorId="0" shapeId="0" xr:uid="{00000000-0006-0000-0700-000001000000}">
      <text>
        <r>
          <rPr>
            <b/>
            <sz val="9"/>
            <color indexed="81"/>
            <rFont val="Tahoma"/>
            <family val="2"/>
          </rPr>
          <t>Greg McLennan:</t>
        </r>
        <r>
          <rPr>
            <sz val="9"/>
            <color indexed="81"/>
            <rFont val="Tahoma"/>
            <family val="2"/>
          </rPr>
          <t xml:space="preserve">
Eg, name or identification number.</t>
        </r>
      </text>
    </comment>
    <comment ref="D21" authorId="0" shapeId="0" xr:uid="{00000000-0006-0000-0700-000002000000}">
      <text>
        <r>
          <rPr>
            <b/>
            <sz val="9"/>
            <color indexed="81"/>
            <rFont val="Tahoma"/>
            <family val="2"/>
          </rPr>
          <t>Greg McLennan:</t>
        </r>
        <r>
          <rPr>
            <sz val="9"/>
            <color indexed="81"/>
            <rFont val="Tahoma"/>
            <family val="2"/>
          </rPr>
          <t xml:space="preserve">
Address nexus to DSP, eg, mains pipe required to transport water from point 'A' to point 'B' to facilitate water distribution in region '1', '2', and '3'.</t>
        </r>
      </text>
    </comment>
    <comment ref="I21" authorId="0" shapeId="0" xr:uid="{00000000-0006-0000-0700-000003000000}">
      <text>
        <r>
          <rPr>
            <b/>
            <sz val="9"/>
            <color indexed="81"/>
            <rFont val="Tahoma"/>
            <family val="2"/>
          </rPr>
          <t>Greg McLennan:</t>
        </r>
        <r>
          <rPr>
            <sz val="9"/>
            <color indexed="81"/>
            <rFont val="Tahoma"/>
            <family val="2"/>
          </rPr>
          <t xml:space="preserve">
This is not the capacity of the asset in ETs, but the number of ETs which the asset will service. The intention is to apportion the cost of the asset over the ETs which will receive a service from the asset.</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Brandon Scholze</author>
  </authors>
  <commentList>
    <comment ref="C18" authorId="0" shapeId="0" xr:uid="{0FA75BDD-E0B5-49CC-B124-C1EE21849377}">
      <text>
        <r>
          <rPr>
            <b/>
            <sz val="9"/>
            <color indexed="81"/>
            <rFont val="Tahoma"/>
            <family val="2"/>
          </rPr>
          <t>Brandon Scholze:</t>
        </r>
        <r>
          <rPr>
            <sz val="9"/>
            <color indexed="81"/>
            <rFont val="Tahoma"/>
            <family val="2"/>
          </rPr>
          <t xml:space="preserve">
Gifted Asset Deduction Rate is used to remove the value of gifted assets from our charge calculations. Gifted assets refers to assets provided by developers at no cost. Since Sydney Water did not pay for these assets, Sydney Water excludes the gift assets' captialised cost from the developer charge. To do this, we apply an adjustment factor that reflects the proportion of gifted assets compared to the total MEERA valuation of all linear assets (including gifted assets) for each capitalised year. This ensures the pre and post 1996 asset list includes costs that Sydney Water have actually incurred.</t>
        </r>
      </text>
    </comment>
    <comment ref="C42" authorId="0" shapeId="0" xr:uid="{7733F02C-30F6-4160-99D0-F82ABBEB65D6}">
      <text>
        <r>
          <rPr>
            <b/>
            <sz val="9"/>
            <color indexed="81"/>
            <rFont val="Tahoma"/>
            <family val="2"/>
          </rPr>
          <t>Brandon Scholze:</t>
        </r>
        <r>
          <rPr>
            <sz val="9"/>
            <color indexed="81"/>
            <rFont val="Tahoma"/>
            <family val="2"/>
          </rPr>
          <t xml:space="preserve">
Applied to only 01 July 2015 to 31 Dec 2015</t>
        </r>
      </text>
    </comment>
  </commentList>
</comments>
</file>

<file path=xl/sharedStrings.xml><?xml version="1.0" encoding="utf-8"?>
<sst xmlns="http://schemas.openxmlformats.org/spreadsheetml/2006/main" count="2713" uniqueCount="704">
  <si>
    <t>MAXIMUM PRICE TEMPLATE (for connecting to a water supply, sewerage, or drainage system)</t>
  </si>
  <si>
    <t>MODELLER:</t>
  </si>
  <si>
    <t>Greg McLennan</t>
  </si>
  <si>
    <t>email</t>
  </si>
  <si>
    <t>greg_mclennan@ipart.nsw.gov.au</t>
  </si>
  <si>
    <t>WHAT IS THE PURPOSE OF MODEL?</t>
  </si>
  <si>
    <t>This workbook is a template that agencies can use to calculate the maximum price for connecting to a water supply, sewerage, or drainage system (referred to as maximum price from here).  The use of this template is voluntary.</t>
  </si>
  <si>
    <t>Agencies can also use the template to calculate the maximum price for connecting a New Development to a Recycled Water System (where that Recycled Water System is a Least Cost Servicing Solution) or to calculate the Ordinary Developer Charge component of the maximum price for connecting a New Development to a Recycled Water System (where that Recycled Water System is not a Least Cost Servicing Solution).</t>
  </si>
  <si>
    <t>HOW DOES THE TEMPLATE WORK?</t>
  </si>
  <si>
    <t>What's in the Template?</t>
  </si>
  <si>
    <t>Calculation of the asset component of the maximum price (excluding headworks and scheme cost allocation).</t>
  </si>
  <si>
    <t>The key worksheets requiring inputs to calculate the asset related components are:</t>
  </si>
  <si>
    <t>&gt;</t>
  </si>
  <si>
    <t>Reduction amount</t>
  </si>
  <si>
    <t>A separate worksheet has been provided to calculate the reduction amount:</t>
  </si>
  <si>
    <t>Headworks</t>
  </si>
  <si>
    <t>A separate worksheet has been provided to capture headworks assets:</t>
  </si>
  <si>
    <t>The purpose of this worksheet is to record, at a high level, the underlying data that are used to calculate the Headworks cost per ET.</t>
  </si>
  <si>
    <t>As headwork costs per ET apply to all DSP areas within a system, presenting the headwork calculations separately will provide additional transparency, and ensure consistency between DSP areas in relation to headworks.</t>
  </si>
  <si>
    <t>Scheme cost allocation</t>
  </si>
  <si>
    <t>A separate worksheet has been provided to capture scheme cost allocation:</t>
  </si>
  <si>
    <t>The purpose of this worksheet is to record, at a high level, the underlying data that are used to calculate the Scheme cost allocation per ET.</t>
  </si>
  <si>
    <t>Maximum price calculations and summary of outputs</t>
  </si>
  <si>
    <t>The maximum price is calculated and the results are summarised in:</t>
  </si>
  <si>
    <t>The separate components for the maximum price equation are presented in both the worksheets.</t>
  </si>
  <si>
    <t>Asset inclusions and exclusions</t>
  </si>
  <si>
    <t>The final worksheet provides information from the Determination about asset inclusions and exclusions.</t>
  </si>
  <si>
    <t>Details on the maximum price methodology can be found on IPART's website at:</t>
  </si>
  <si>
    <t>IPART - Developer charges and backlog sewerage charges for metropolitan water agencies 2017</t>
  </si>
  <si>
    <t>IPART - Maximum prices for connecting to a recycled water system - July 2019</t>
  </si>
  <si>
    <t>The above two determinations must be read in conjunction to one another.</t>
  </si>
  <si>
    <t>COLOUR CODE  &lt;Required for all models/spreadsheets. See 'Examples' for the full list of potential colour codes&gt;</t>
  </si>
  <si>
    <t>This model uses standard IPART colour coding:</t>
  </si>
  <si>
    <t>Blue cells indicate inputs</t>
  </si>
  <si>
    <t>Light blue cells indicate inputs with default values</t>
  </si>
  <si>
    <r>
      <t xml:space="preserve">default values are shown in </t>
    </r>
    <r>
      <rPr>
        <i/>
        <sz val="9"/>
        <rFont val="Arial"/>
        <family val="2"/>
      </rPr>
      <t>italics</t>
    </r>
    <r>
      <rPr>
        <sz val="9"/>
        <rFont val="Arial"/>
        <family val="2"/>
      </rPr>
      <t xml:space="preserve"> next to or below the light blue cells</t>
    </r>
  </si>
  <si>
    <t>Light grey - inputs not required, cells should be left unchanged.</t>
  </si>
  <si>
    <t>Blue font indicates IPART hard-coded values used that should not be changed</t>
  </si>
  <si>
    <t>Key outputs</t>
  </si>
  <si>
    <t>Pink font indicates calculation checks</t>
  </si>
  <si>
    <t>Red indicates assumptions made in calculations</t>
  </si>
  <si>
    <t>red double line means formula changes across a row or down a column</t>
  </si>
  <si>
    <t>JOURNAL OF CHANGES</t>
  </si>
  <si>
    <t>Reason for change</t>
  </si>
  <si>
    <t>Description of change</t>
  </si>
  <si>
    <t>Place change made</t>
  </si>
  <si>
    <t>Template Version</t>
  </si>
  <si>
    <t>Date change made</t>
  </si>
  <si>
    <t>Align template with Determination</t>
  </si>
  <si>
    <t>Limit ET profile used in calculating reduction amount per ET to 30 forecast years only. Previously extended to 1995-96.</t>
  </si>
  <si>
    <t>Column H, MP Calculations worksheet</t>
  </si>
  <si>
    <t>V1.01</t>
  </si>
  <si>
    <t>Removed the time limit for uncommissioned assets.  Previous time limit was to year 30.</t>
  </si>
  <si>
    <t>Columns N &amp; O, MP Calculations worksheet</t>
  </si>
  <si>
    <t>Expansion to account for the Maximum prices for connecting to a recycled water system Determination July 2019.</t>
  </si>
  <si>
    <t xml:space="preserve">Include an additional input "Scheme costs allocation per ET" to allow for cost offsets for non-least cost recycled water schemes to be incorporated.  </t>
  </si>
  <si>
    <t xml:space="preserve"> G22, MP Calculations worksheet
Scheme cost allocation worksheet</t>
  </si>
  <si>
    <t>Summary of maximum price for a new development</t>
  </si>
  <si>
    <t>of which:</t>
  </si>
  <si>
    <t>is the headworks charge</t>
  </si>
  <si>
    <t>Maximum price formula:</t>
  </si>
  <si>
    <t>MP</t>
  </si>
  <si>
    <t>=</t>
  </si>
  <si>
    <t>maximum price per equivalent tenement to be services by the connection.</t>
  </si>
  <si>
    <r>
      <t>K</t>
    </r>
    <r>
      <rPr>
        <vertAlign val="subscript"/>
        <sz val="9"/>
        <rFont val="Arial"/>
        <family val="2"/>
      </rPr>
      <t>1</t>
    </r>
  </si>
  <si>
    <t>the Capital Charge for the Pre-1996 Assets that will serve the relevant DSP Area, calculated in accordance with clause 2.3(a) of Schedule 5 of the Determination and set out in the DSP.</t>
  </si>
  <si>
    <r>
      <t>K</t>
    </r>
    <r>
      <rPr>
        <vertAlign val="subscript"/>
        <sz val="9"/>
        <rFont val="Arial"/>
        <family val="2"/>
      </rPr>
      <t>2</t>
    </r>
  </si>
  <si>
    <t>the Capital Charge for the Post-1996 Assets that will serve the relevant DSP Area, calculated in accordance with clause 2.3(b) and 2.3(c) of Schedule 5 of the Determination and set out in the DSP.</t>
  </si>
  <si>
    <r>
      <t>PV(L</t>
    </r>
    <r>
      <rPr>
        <vertAlign val="subscript"/>
        <sz val="9"/>
        <rFont val="Arial"/>
        <family val="2"/>
      </rPr>
      <t>1</t>
    </r>
    <r>
      <rPr>
        <sz val="9"/>
        <rFont val="Arial"/>
        <family val="2"/>
      </rPr>
      <t>)</t>
    </r>
  </si>
  <si>
    <t>the Present Value of the Agency’s estimate of the number of Equivalent Tenements in the relevant DSP for Pre-1996 Assets, calculated in accordance with clause 3.2(a) of Schedule 5 of the Determination and set out in the relevant DSP.</t>
  </si>
  <si>
    <r>
      <t>PV(L</t>
    </r>
    <r>
      <rPr>
        <vertAlign val="subscript"/>
        <sz val="9"/>
        <rFont val="Arial"/>
        <family val="2"/>
      </rPr>
      <t>2</t>
    </r>
    <r>
      <rPr>
        <sz val="9"/>
        <rFont val="Arial"/>
        <family val="2"/>
      </rPr>
      <t>)</t>
    </r>
  </si>
  <si>
    <t>the Present Value of the Agency’s estimate of the number of Equivalent Tenements for Post-1996 Assets, calculated in accordance with clause 3.2(b) of Schedule 5 of the Determination and set out in the relevant DSP.</t>
  </si>
  <si>
    <r>
      <t>PV(L</t>
    </r>
    <r>
      <rPr>
        <vertAlign val="subscript"/>
        <sz val="9"/>
        <rFont val="Arial"/>
        <family val="2"/>
      </rPr>
      <t>3</t>
    </r>
    <r>
      <rPr>
        <sz val="9"/>
        <rFont val="Arial"/>
        <family val="2"/>
      </rPr>
      <t>)</t>
    </r>
  </si>
  <si>
    <t>the Present Value of the Agency’s estimate of the number of Equivalent Tenements for the Reduction Amount, calculated in accordance with clause 3.2(c) of Schedule 5 of the Determination and set out in the relevant DSP.</t>
  </si>
  <si>
    <r>
      <t>R</t>
    </r>
    <r>
      <rPr>
        <vertAlign val="subscript"/>
        <sz val="9"/>
        <rFont val="Arial"/>
        <family val="2"/>
      </rPr>
      <t>i</t>
    </r>
  </si>
  <si>
    <r>
      <t xml:space="preserve">the Agency’s estimate of the future periodic revenues to be received from new customers in the relevant DSP Area in each financial year </t>
    </r>
    <r>
      <rPr>
        <i/>
        <sz val="9"/>
        <rFont val="Arial"/>
        <family val="2"/>
      </rPr>
      <t>i</t>
    </r>
    <r>
      <rPr>
        <sz val="9"/>
        <rFont val="Arial"/>
        <family val="2"/>
      </rPr>
      <t>, estimated in accordance with clause 4 of Schedule 5 of the Determination and set out in the relevant DSP.</t>
    </r>
  </si>
  <si>
    <r>
      <t>C</t>
    </r>
    <r>
      <rPr>
        <vertAlign val="subscript"/>
        <sz val="9"/>
        <rFont val="Arial"/>
        <family val="2"/>
      </rPr>
      <t>i</t>
    </r>
  </si>
  <si>
    <r>
      <t xml:space="preserve">the Agency’s estimate of the future operating, maintenance and administration costs of servicing all new customers in the DSP Area in each financial year </t>
    </r>
    <r>
      <rPr>
        <i/>
        <sz val="9"/>
        <rFont val="Arial"/>
        <family val="2"/>
      </rPr>
      <t>i</t>
    </r>
    <r>
      <rPr>
        <sz val="9"/>
        <rFont val="Arial"/>
        <family val="2"/>
      </rPr>
      <t xml:space="preserve"> (excluding, for the avoidance of doubt, any Capital Costs), estimated in accordance with clause 5 of Schedule 5 of the Determination and set out in the relevant DSP.</t>
    </r>
  </si>
  <si>
    <t>n</t>
  </si>
  <si>
    <t>is the financial year which is 30 years from the financial year in which the relevant DSP was registered with IPART under clause 2(e) of Schedule 4 of the Determination.</t>
  </si>
  <si>
    <t xml:space="preserve"> </t>
  </si>
  <si>
    <t>CALCULATION OF MAXIMUM PRICE</t>
  </si>
  <si>
    <t>Index</t>
  </si>
  <si>
    <t>Row</t>
  </si>
  <si>
    <t>Maximum price</t>
  </si>
  <si>
    <t>Headworks costs per ET</t>
  </si>
  <si>
    <t>Scheme cost allocation per ET</t>
  </si>
  <si>
    <t>Pre-1996 assets</t>
  </si>
  <si>
    <t>Post-1996 commissioned assets</t>
  </si>
  <si>
    <t>Post-1996 uncommissioned assets</t>
  </si>
  <si>
    <t>Reduction for expected revenue and operation costs</t>
  </si>
  <si>
    <t>Costs to be recovered via DSP</t>
  </si>
  <si>
    <t>ETs</t>
  </si>
  <si>
    <t>Value per ET</t>
  </si>
  <si>
    <t>Sum of new ETs (not discounted)</t>
  </si>
  <si>
    <t>Sum of PV of new ETs (discounted at pre-1996 asset discount rate)</t>
  </si>
  <si>
    <t>Sum of PV of new ETs (discounted at post-1996 asset discount rate)</t>
  </si>
  <si>
    <t>Sum of PV of new ETs (discounted at expected revenue and costs discount rate)</t>
  </si>
  <si>
    <t>Sum of PV of Pre-1996 commissioned assets (discounted at pre-1996 asset discount rate)</t>
  </si>
  <si>
    <t>Sum of PV of Post-1996 commissioned assets (discounted at post-1996 asset discount rate)</t>
  </si>
  <si>
    <t>Sum of PV of Post-1996 uncommissioned assets (discounted at post-1996 asset discount rate)</t>
  </si>
  <si>
    <t>Sum of PV of revenue for new customers (discounted at expected future revenue and costs discount rate)</t>
  </si>
  <si>
    <t>Sum of PV of costs for new ETs (discounted at expected future revenue and costs discount rate)</t>
  </si>
  <si>
    <t>ET values</t>
  </si>
  <si>
    <t>Asset values</t>
  </si>
  <si>
    <t>Revenue values</t>
  </si>
  <si>
    <t>Cost values</t>
  </si>
  <si>
    <t>Year</t>
  </si>
  <si>
    <t>New ETs per year for this DSP area</t>
  </si>
  <si>
    <t>Present value of new ETs per year (discounted at pre-1996 asset discount rate)</t>
  </si>
  <si>
    <t>Present value of new ETs per year (discounted at post-1996 asset discount rate)</t>
  </si>
  <si>
    <t>Present value of new ETs per year (discounted at expected revenue and costs discount rate)</t>
  </si>
  <si>
    <t>Value of pre-1996 assets to be collected through this DSP (undiscounted)</t>
  </si>
  <si>
    <t>Present value of pre-1996 assets (discounted at pre-1996 asset discount rate)</t>
  </si>
  <si>
    <t>Value of post-1996 commissioned assets to be collected through this DSP (undiscounted)</t>
  </si>
  <si>
    <t>Present value of post-1996 commissioned assets (discounted at post-1996 asset discount rate)</t>
  </si>
  <si>
    <t>Value of post-1996 uncommissioned assets to be collected through this DSP (undiscounted)</t>
  </si>
  <si>
    <t>Present value of post-1996 uncommissioned assets (discounted at post-1996 asset discount rate)</t>
  </si>
  <si>
    <t>Revenues expected to be recovered from new customers (undiscounted)</t>
  </si>
  <si>
    <t>Present value of revenues (discounted at expected future revenue and costs discount rate)</t>
  </si>
  <si>
    <t>Operating costs expected to be incurred in providing service to new customers (undiscounted)</t>
  </si>
  <si>
    <t>Present value of operating costs (discounted at expected future revenue and costs discount rate)</t>
  </si>
  <si>
    <t>GENERAL INPUTS</t>
  </si>
  <si>
    <t>Regulated Agency (for setting pre-1996 discount rate)</t>
  </si>
  <si>
    <t>Sydney Water Corporation</t>
  </si>
  <si>
    <t>Agency name</t>
  </si>
  <si>
    <t>Pre-1996 discount rate</t>
  </si>
  <si>
    <t>DSP name</t>
  </si>
  <si>
    <t>Rouse Hill Stormwater</t>
  </si>
  <si>
    <t>Central Coast Council</t>
  </si>
  <si>
    <t>Hunter Water Corporation</t>
  </si>
  <si>
    <t>System name (allows cross checking of headworks costs)</t>
  </si>
  <si>
    <t xml:space="preserve">Service this DSP relates to </t>
  </si>
  <si>
    <t>Stormwater</t>
  </si>
  <si>
    <t>Water</t>
  </si>
  <si>
    <t>Timeframes</t>
  </si>
  <si>
    <t>Relevant financial year</t>
  </si>
  <si>
    <t>Sewerage</t>
  </si>
  <si>
    <t>Financial year of registration for the DSP</t>
  </si>
  <si>
    <t>2025-26</t>
  </si>
  <si>
    <t>Final date where assets can be commissioned</t>
  </si>
  <si>
    <t>2018-19</t>
  </si>
  <si>
    <t>2019-20</t>
  </si>
  <si>
    <t>Date range for pre 1996 assets</t>
  </si>
  <si>
    <t>2020-21</t>
  </si>
  <si>
    <t>2021-22</t>
  </si>
  <si>
    <t>First day</t>
  </si>
  <si>
    <t>2022-23</t>
  </si>
  <si>
    <t>Last day</t>
  </si>
  <si>
    <t>2023-24</t>
  </si>
  <si>
    <t>2024-25</t>
  </si>
  <si>
    <t>2026-27</t>
  </si>
  <si>
    <t>Discount rates &amp; other</t>
  </si>
  <si>
    <t>2027-28</t>
  </si>
  <si>
    <t>2028-29</t>
  </si>
  <si>
    <t>Rate applied to pre-1996 assets and ETs</t>
  </si>
  <si>
    <t>2029-30</t>
  </si>
  <si>
    <t>2030-31</t>
  </si>
  <si>
    <t>Rate applied to post-1996 assets and ETs (real pre-tax WACC)</t>
  </si>
  <si>
    <t>Rate applied to the NPV of expected revenues and costs (real pre-tax WACC)</t>
  </si>
  <si>
    <t xml:space="preserve">An Equivalent Tenement (ET) is a unit that occupies X hectares of net developable area, where X = </t>
  </si>
  <si>
    <t>$</t>
  </si>
  <si>
    <t>Forecast period (years)</t>
  </si>
  <si>
    <t>$'000</t>
  </si>
  <si>
    <t>$M</t>
  </si>
  <si>
    <t>$ base year for DSP analysis</t>
  </si>
  <si>
    <t>What $ units are used in the model</t>
  </si>
  <si>
    <t>PRE-1996 ASSETS WITH A NEXUS TO THE SERVICE FOR WHICH THE MAXIMUM PRICE IS BEING CALCULATED</t>
  </si>
  <si>
    <t>Asset exclusions'!A1</t>
  </si>
  <si>
    <t>Where this template is being used to calculate the maximum price for connecting to a Recycled Water System, refer to the following provisions of the Recycled Water Developer Charges Determination:</t>
  </si>
  <si>
    <t>(a)     Schedule 1, clause 2 (where the Recycled Water System is a Least Cost Servicing Solution); and</t>
  </si>
  <si>
    <t xml:space="preserve">(b)     Schedule 2, clause 2.2 (where the Recycled Water System is not a Least Cost Servicing Solution). </t>
  </si>
  <si>
    <t>These provisions may affect the calculation of the capital charge.</t>
  </si>
  <si>
    <t>Date range for assets</t>
  </si>
  <si>
    <t>Start date</t>
  </si>
  <si>
    <t>End date</t>
  </si>
  <si>
    <t>Register of pre-1996 assets</t>
  </si>
  <si>
    <t>General inputs</t>
  </si>
  <si>
    <t>Service potential inputs</t>
  </si>
  <si>
    <t>Asset value inputs</t>
  </si>
  <si>
    <t>Identifier</t>
  </si>
  <si>
    <t>Description</t>
  </si>
  <si>
    <t>Date commissioned</t>
  </si>
  <si>
    <t>Date check</t>
  </si>
  <si>
    <t>DSP areas serviced by asset</t>
  </si>
  <si>
    <t>Expected system-wide ETs to be serviced by this asset</t>
  </si>
  <si>
    <t>Proportion of asset cost to be recovered via this DSP</t>
  </si>
  <si>
    <t>Number of units or length of asset (A)</t>
  </si>
  <si>
    <t>Unit of measure in (A)</t>
  </si>
  <si>
    <t>Pipe Branch 750</t>
  </si>
  <si>
    <t>Rouse Hill</t>
  </si>
  <si>
    <t>metres</t>
  </si>
  <si>
    <t>RC Box Branch 1200x1200</t>
  </si>
  <si>
    <t>RC Box Culvert 2700x1800</t>
  </si>
  <si>
    <t>RC Box Culvert 2440x1180</t>
  </si>
  <si>
    <t>Pipe Grass Lined Channel With Low Flow Pipe 600</t>
  </si>
  <si>
    <t>RC Box Culvert 2260x900</t>
  </si>
  <si>
    <t>RC Box Culvert 2100x1500</t>
  </si>
  <si>
    <t>RC Box Culvert 2700x1500</t>
  </si>
  <si>
    <t>RC Box Culvert 1200x1200</t>
  </si>
  <si>
    <t>RC Box Grass Lined Channel With Concrete Invert 1800x1200</t>
  </si>
  <si>
    <t>Earth Open Grass Lined Channel With Concrete Invert 20000x2000</t>
  </si>
  <si>
    <t>Earth Open Grass Lined Channel With Concrete Invert 30000x2000</t>
  </si>
  <si>
    <t>Earth Open Grass Lined Channel With Concrete Invert 1800x1200</t>
  </si>
  <si>
    <t>Earth Open Grass Lined Channel With Concrete Invert 1200x1200</t>
  </si>
  <si>
    <t>Pipe Grass Lined Channel With Low Flow Pipe 900</t>
  </si>
  <si>
    <t>Earth Open Grass Lined Channel With Low Flow Pipe 30000x1500</t>
  </si>
  <si>
    <t>Pipe Grass Lined Channel With Low Flow Pipe 750</t>
  </si>
  <si>
    <t>Pipe Grass Lined Channel With Low Flow Pipe 150</t>
  </si>
  <si>
    <t>Earth Open Grass Lined Channel With Concrete Invert 16000x2000</t>
  </si>
  <si>
    <t>Pipe Grass Lined Channel With Low Flow Pipe 300</t>
  </si>
  <si>
    <t>Pipe Culvert 600</t>
  </si>
  <si>
    <t>Pipe Grass Lined Channel With Low Flow Pipe 1050</t>
  </si>
  <si>
    <t>RC Unknown Main Channel 4000x1500</t>
  </si>
  <si>
    <t>RC Unknown Main Channel 900x900</t>
  </si>
  <si>
    <t>Pipe Main Channel 900</t>
  </si>
  <si>
    <t>Pipe Branch 300</t>
  </si>
  <si>
    <t>Earth Open Grass Lined Channel With Concrete Invert 3000x1500</t>
  </si>
  <si>
    <t>RC Box Culvert 3000x1200</t>
  </si>
  <si>
    <t>RC Box Culvert 1500x900</t>
  </si>
  <si>
    <t>RC Box Culvert 3000x1500</t>
  </si>
  <si>
    <t>RC Covered Culvert 2440x1180</t>
  </si>
  <si>
    <t>RC Box Culvert 2100x900</t>
  </si>
  <si>
    <t>RC Covered Culvert 2130x900</t>
  </si>
  <si>
    <t>Earth Open Grass Lined Channel With Low Flow Pipe 35000x1500</t>
  </si>
  <si>
    <t>Pipe Natural Watercourse 150</t>
  </si>
  <si>
    <t>RC Covered Culvert 2100x1500</t>
  </si>
  <si>
    <t>Earth Open Grass Lined Channel With Low Flow Pipe 25000x2000</t>
  </si>
  <si>
    <t>Earth Open Grass Lined Channel With Low Flow Pipe 25000x1500</t>
  </si>
  <si>
    <t>Gross Pollution Trap</t>
  </si>
  <si>
    <t>structure</t>
  </si>
  <si>
    <t>Silt Pit</t>
  </si>
  <si>
    <t>Trash Rack</t>
  </si>
  <si>
    <t>Basin 9</t>
  </si>
  <si>
    <t>basin</t>
  </si>
  <si>
    <t>Basin 21</t>
  </si>
  <si>
    <t>Basin 20</t>
  </si>
  <si>
    <t>Basin 13</t>
  </si>
  <si>
    <t>Basin 5</t>
  </si>
  <si>
    <t>Basin 29</t>
  </si>
  <si>
    <t>Basin 28</t>
  </si>
  <si>
    <t>Annangrove Land Holding #1</t>
  </si>
  <si>
    <t>land parcel</t>
  </si>
  <si>
    <t xml:space="preserve">Add rows above this point as required and copy formula down.  It is important to add rows above this point as this will ensure the formula on the 'MP Calculations' worksheet will incorporate the information included in the additional rows. </t>
  </si>
  <si>
    <t>Total</t>
  </si>
  <si>
    <t>POST-1996 COMMISSIONED ASSETS WITH A NEXUS TO THE SERVICE FOR WHICH THE MAXIMUM PRICE IS BEING CALCULATED</t>
  </si>
  <si>
    <t>Register of post-1996 commissioned assets</t>
  </si>
  <si>
    <t>Financial year of commissioning</t>
  </si>
  <si>
    <t>Pipe Grass Lined Channel With Low Flow Pipe 450</t>
  </si>
  <si>
    <t>Pipe Grass Lined Channel With Low Flow Pipe 375</t>
  </si>
  <si>
    <t>Pipe Main Channel 1350</t>
  </si>
  <si>
    <t>Pipe Main Channel 900x900</t>
  </si>
  <si>
    <t>RC Box Culvert 3000x900</t>
  </si>
  <si>
    <t>RC Covered Culvert 3000x900</t>
  </si>
  <si>
    <t>Pipe Branch 900</t>
  </si>
  <si>
    <t>Pipe Branch 375</t>
  </si>
  <si>
    <t>Pipe Branch 450</t>
  </si>
  <si>
    <t>RC Box Culvert 1800x1200</t>
  </si>
  <si>
    <t>RC Covered Culvert 1800x1400</t>
  </si>
  <si>
    <t>RC Box Culvert 2700x1200</t>
  </si>
  <si>
    <t>Pipe Culvert 1650</t>
  </si>
  <si>
    <t>Stone Open Branch 4000x1500</t>
  </si>
  <si>
    <t>RC Box Culvert 1200x600</t>
  </si>
  <si>
    <t>RC Box Culvert 2400x2700</t>
  </si>
  <si>
    <t>RC Box Culvert 2400x900</t>
  </si>
  <si>
    <t>Earth Open Grass Lined Channel With Concrete Invert 35000x1500</t>
  </si>
  <si>
    <t>RC Covered Culvert 2400x1500</t>
  </si>
  <si>
    <t>RC Box Culvert 2400x1500</t>
  </si>
  <si>
    <t>RC Box Culvert 1200x900</t>
  </si>
  <si>
    <t>RC Covered Culvert 2700x1800</t>
  </si>
  <si>
    <t>RC Box Culvert 3000x1800</t>
  </si>
  <si>
    <t>RC Covered Culvert 3000x1800</t>
  </si>
  <si>
    <t>RC Box Culvert 3000x2400</t>
  </si>
  <si>
    <t>Pipe Main Channel 450</t>
  </si>
  <si>
    <t>Pipe Main Channel 225</t>
  </si>
  <si>
    <t>Pipe Main Channel 1050</t>
  </si>
  <si>
    <t>Pipe Main Channel 525</t>
  </si>
  <si>
    <t>Pipe Main Channel 600</t>
  </si>
  <si>
    <t>Earth Open Grass Lined Channel With Low Flow Pipe 20000x2000</t>
  </si>
  <si>
    <t>Pipe Branch 600</t>
  </si>
  <si>
    <t>RC Box Culvert 1500x600</t>
  </si>
  <si>
    <t>RC Box Culvert 900x600</t>
  </si>
  <si>
    <t>RC Box Culvert 1200x750</t>
  </si>
  <si>
    <t>Pipe Grass Lined Channel With Low Flow Pipe 2000x1000</t>
  </si>
  <si>
    <t>Pipe Branch 1350</t>
  </si>
  <si>
    <t>Pipe Branch 1050</t>
  </si>
  <si>
    <t>Pipe Inlet 525</t>
  </si>
  <si>
    <t>Basin 9B</t>
  </si>
  <si>
    <t>Basin 16A/B</t>
  </si>
  <si>
    <t>Basin 24</t>
  </si>
  <si>
    <t>Basin 24A</t>
  </si>
  <si>
    <t>BASIN 42A</t>
  </si>
  <si>
    <t>BASIN 33</t>
  </si>
  <si>
    <t>BASIN 40</t>
  </si>
  <si>
    <t>BASIN 41</t>
  </si>
  <si>
    <t>BASIN 31</t>
  </si>
  <si>
    <t>BASIN 32</t>
  </si>
  <si>
    <t>Kellyville Land Holding #1</t>
  </si>
  <si>
    <t>Kellyville Land Holding #2</t>
  </si>
  <si>
    <t>Rouse Hill Land Holding #1</t>
  </si>
  <si>
    <t>Kellyville Land Holding #3</t>
  </si>
  <si>
    <t>Kellyville Land Holding #4</t>
  </si>
  <si>
    <t>Rouse Hill Land Holding #2</t>
  </si>
  <si>
    <t>Kellyville Land Holding #5</t>
  </si>
  <si>
    <t>Rouse Hill Land Holding #3</t>
  </si>
  <si>
    <t>Rouse Hill Land Holding #4</t>
  </si>
  <si>
    <t>Kellyville Land Holding #6</t>
  </si>
  <si>
    <t>Kellyville Land Holding #7</t>
  </si>
  <si>
    <t>Kellyville Land Holding #8</t>
  </si>
  <si>
    <t>Rouse Hill Land Holding #5</t>
  </si>
  <si>
    <t>Kellyville Land Holding #9</t>
  </si>
  <si>
    <t>Parklea Land Holding #1</t>
  </si>
  <si>
    <t>Kellyville Land Holding #10</t>
  </si>
  <si>
    <t>Rouse Hill Land Holding #6</t>
  </si>
  <si>
    <t>Rouse Hill Land Holding #7</t>
  </si>
  <si>
    <t>Rouse Hill Land Holding #8</t>
  </si>
  <si>
    <t>Kellyville Land Holding #11</t>
  </si>
  <si>
    <t>Parklea Land Holding #2</t>
  </si>
  <si>
    <t>Parklea Land Holding #3</t>
  </si>
  <si>
    <t>Rouse Hill Land Holding #9</t>
  </si>
  <si>
    <t>Rouse Hill Land Holding #10</t>
  </si>
  <si>
    <t>Parklea Land Holding #4</t>
  </si>
  <si>
    <t>Rouse Hill Land Holding #11</t>
  </si>
  <si>
    <t>Kellyville Land Holding #12</t>
  </si>
  <si>
    <t>Kellyville Land Holding #13</t>
  </si>
  <si>
    <t>Annangrove Land Holding #2</t>
  </si>
  <si>
    <t>Kellyville Land Holding #14</t>
  </si>
  <si>
    <t>Parklea Land Holding #5</t>
  </si>
  <si>
    <t>Rouse Hill Land Holding #12</t>
  </si>
  <si>
    <t>Rouse Hill Land Holding #13</t>
  </si>
  <si>
    <t>Parklea Land Holding #6</t>
  </si>
  <si>
    <t>Kellyville Land Holding #15</t>
  </si>
  <si>
    <t>Kellyville Land Holding #16</t>
  </si>
  <si>
    <t>Rouse Hill Land Holding #14</t>
  </si>
  <si>
    <t>Kellyville Land Holding #17</t>
  </si>
  <si>
    <t>Rouse Hill Land Holding #15</t>
  </si>
  <si>
    <t>Annangrove Land Holding #3</t>
  </si>
  <si>
    <t>Rouse Hill Land Holding #16</t>
  </si>
  <si>
    <t>Kellyville Land Holding #18</t>
  </si>
  <si>
    <t>Rouse Hill Land Holding #17</t>
  </si>
  <si>
    <t>Kellyville Land Holding #19</t>
  </si>
  <si>
    <t>Kellyville Land Holding #20</t>
  </si>
  <si>
    <t>Rouse Hill Land Holding #18</t>
  </si>
  <si>
    <t>Kellyville Land Holding #21</t>
  </si>
  <si>
    <t>Rouse Hill Land Holding #19</t>
  </si>
  <si>
    <t>Rouse Hill Land Holding #20</t>
  </si>
  <si>
    <t>Rouse Hill Land Holding #21</t>
  </si>
  <si>
    <t>Kellyville Land Holding #22</t>
  </si>
  <si>
    <t>Parklea Land Holding #7</t>
  </si>
  <si>
    <t>Rouse Hill Land Holding #22</t>
  </si>
  <si>
    <t>Kellyville Land Holding #23</t>
  </si>
  <si>
    <t>Rouse Hill Land Holding #23</t>
  </si>
  <si>
    <t>Parklea Land Holding #8</t>
  </si>
  <si>
    <t>Kellyville Land Holding #24</t>
  </si>
  <si>
    <t>Rouse Hill Land Holding #24</t>
  </si>
  <si>
    <t>Rouse Hill Land Holding #25</t>
  </si>
  <si>
    <t>Rouse Hill Land Holding #26</t>
  </si>
  <si>
    <t>Rouse Hill Land Holding #27</t>
  </si>
  <si>
    <t>Rouse Hill Land Holding #28</t>
  </si>
  <si>
    <t>Annangrove Land Holding #4</t>
  </si>
  <si>
    <t>Kellyville Land Holding #25</t>
  </si>
  <si>
    <t>Kellyville Land Holding #26</t>
  </si>
  <si>
    <t>Parklea Land Holding #9</t>
  </si>
  <si>
    <t>Kellyville Land Holding #27</t>
  </si>
  <si>
    <t>Parklea Land Holding #10</t>
  </si>
  <si>
    <t>Kellyville Land Holding #28</t>
  </si>
  <si>
    <t>Kellyville Land Holding #29</t>
  </si>
  <si>
    <t>Rouse Hill Land Holding #29</t>
  </si>
  <si>
    <t>Kellyville Land Holding #30</t>
  </si>
  <si>
    <t>Rouse Hill Land Holding #30</t>
  </si>
  <si>
    <t>Kellyville Land Holding #31</t>
  </si>
  <si>
    <t>Glenwood Land Holding #1</t>
  </si>
  <si>
    <t>Rouse Hill Land Holding #31</t>
  </si>
  <si>
    <t>Rouse Hill Land Holding #32</t>
  </si>
  <si>
    <t>Annangrove Land Holding #5</t>
  </si>
  <si>
    <t>Kellyville Land Holding #32</t>
  </si>
  <si>
    <t>Kellyville Land Holding #33</t>
  </si>
  <si>
    <t>Kellyville Land Holding #34</t>
  </si>
  <si>
    <t>Rouse Hill Land Holding #33</t>
  </si>
  <si>
    <t>Kellyville Land Holding #35</t>
  </si>
  <si>
    <t>Rouse Hill Land Holding #34</t>
  </si>
  <si>
    <t>Kellyville Land Holding #36</t>
  </si>
  <si>
    <t>Rouse Hill Land Holding #35</t>
  </si>
  <si>
    <t>Kellyville Land Holding #37</t>
  </si>
  <si>
    <t>Kellyville Land Holding #38</t>
  </si>
  <si>
    <t>Kellyville Land Holding #39</t>
  </si>
  <si>
    <t>Kellyville Land Holding #40</t>
  </si>
  <si>
    <t>Kellyville Land Holding #41</t>
  </si>
  <si>
    <t>Kellyville Land Holding #42</t>
  </si>
  <si>
    <t>Kellyville Land Holding #43</t>
  </si>
  <si>
    <t>Quakers Hill Land Holding #1</t>
  </si>
  <si>
    <t>Rouse Hill Land Holding #36</t>
  </si>
  <si>
    <t>Kellyville Land Holding #44</t>
  </si>
  <si>
    <t>Castle Hill Land Holding #1</t>
  </si>
  <si>
    <t>Castle Hill Land Holding #2</t>
  </si>
  <si>
    <t>Castle Hill Land Holding #3</t>
  </si>
  <si>
    <t>Kellyville Land Holding #45</t>
  </si>
  <si>
    <t>Rouse Hill Land Holding #37</t>
  </si>
  <si>
    <t>Kellyville Land Holding #46</t>
  </si>
  <si>
    <t>Kellyville Land Holding #47</t>
  </si>
  <si>
    <t>Rouse Hill Land Holding #38</t>
  </si>
  <si>
    <t>Rouse Hill Land Holding #39</t>
  </si>
  <si>
    <t>Rouse Hill Land Holding #40</t>
  </si>
  <si>
    <t>Glenwood Land Holding #2</t>
  </si>
  <si>
    <t>Castle Hill Land Holding #4</t>
  </si>
  <si>
    <t>Kellyville Land Holding #48</t>
  </si>
  <si>
    <t>Kellyville Land Holding #49</t>
  </si>
  <si>
    <t>Kellyville Land Holding #50</t>
  </si>
  <si>
    <t>Kellyville Ridge Land Holding #1</t>
  </si>
  <si>
    <t>Kellyville Land Holding #51</t>
  </si>
  <si>
    <t>Kellyville Land Holding #52</t>
  </si>
  <si>
    <t>Kellyville Land Holding #53</t>
  </si>
  <si>
    <t>Kellyville Land Holding #54</t>
  </si>
  <si>
    <t>Glenwood Land Holding #3</t>
  </si>
  <si>
    <t>Kellyville Land Holding #55</t>
  </si>
  <si>
    <t>Glenwood Land Holding #4</t>
  </si>
  <si>
    <t>Kellyville Land Holding #56</t>
  </si>
  <si>
    <t>Quakers Hill Land Holding #2</t>
  </si>
  <si>
    <t>Glenwood Land Holding #5</t>
  </si>
  <si>
    <t>Kellyville Land Holding #57</t>
  </si>
  <si>
    <t>Kellyville Land Holding #58</t>
  </si>
  <si>
    <t>Kellyville Land Holding #59</t>
  </si>
  <si>
    <t>Kellyville Land Holding #60</t>
  </si>
  <si>
    <t>Kellyville Land Holding #61</t>
  </si>
  <si>
    <t>Kellyville Land Holding #62</t>
  </si>
  <si>
    <t>Kellyville Land Holding #63</t>
  </si>
  <si>
    <t>Kellyville Land Holding #64</t>
  </si>
  <si>
    <t>Kellyville Land Holding #65</t>
  </si>
  <si>
    <t>Kellyville Land Holding #66</t>
  </si>
  <si>
    <t>Kellyville Land Holding #67</t>
  </si>
  <si>
    <t>Kellyville Land Holding #68</t>
  </si>
  <si>
    <t>Kellyville Land Holding #69</t>
  </si>
  <si>
    <t>Kellyville Land Holding #70</t>
  </si>
  <si>
    <t>Kellyville Land Holding #71</t>
  </si>
  <si>
    <t>Kellyville Land Holding #72</t>
  </si>
  <si>
    <t>Kellyville Land Holding #73</t>
  </si>
  <si>
    <t>Kellyville Land Holding #74</t>
  </si>
  <si>
    <t>Kellyville Land Holding #75</t>
  </si>
  <si>
    <t>Kellyville Land Holding #76</t>
  </si>
  <si>
    <t>Kellyville Land Holding #77</t>
  </si>
  <si>
    <t>Kellyville Land Holding #78</t>
  </si>
  <si>
    <t>Kellyville Land Holding #79</t>
  </si>
  <si>
    <t>Kellyville Land Holding #80</t>
  </si>
  <si>
    <t>Stanhope Gardens Land Holding #1</t>
  </si>
  <si>
    <t>Kellyville Land Holding #81</t>
  </si>
  <si>
    <t>Kellyville Land Holding #82</t>
  </si>
  <si>
    <t>Kellyville Land Holding #83</t>
  </si>
  <si>
    <t>Kellyville Land Holding #84</t>
  </si>
  <si>
    <t>Kellyville Land Holding #85</t>
  </si>
  <si>
    <t>Kellyville Land Holding #86</t>
  </si>
  <si>
    <t>Kellyville Land Holding #87</t>
  </si>
  <si>
    <t>Kellyville Land Holding #88</t>
  </si>
  <si>
    <t>Kellyville Land Holding #89</t>
  </si>
  <si>
    <t>Kellyville Land Holding #90</t>
  </si>
  <si>
    <t>Kellyville Land Holding #91</t>
  </si>
  <si>
    <t>Kellyville Land Holding #92</t>
  </si>
  <si>
    <t>Kellyville Land Holding #93</t>
  </si>
  <si>
    <t>Kellyville Land Holding #94</t>
  </si>
  <si>
    <t>Kellyville Land Holding #95</t>
  </si>
  <si>
    <t>Kellyville Land Holding #96</t>
  </si>
  <si>
    <t>Kellyville Land Holding #97</t>
  </si>
  <si>
    <t>Kellyville Land Holding #98</t>
  </si>
  <si>
    <t>Kellyville Land Holding #99</t>
  </si>
  <si>
    <t>Kellyville Land Holding #100</t>
  </si>
  <si>
    <t>Kellyville Land Holding #101</t>
  </si>
  <si>
    <t>Kellyville Land Holding #102</t>
  </si>
  <si>
    <t>Kellyville Land Holding #103</t>
  </si>
  <si>
    <t>Kellyville Land Holding #104</t>
  </si>
  <si>
    <t>Kellyville Land Holding #105</t>
  </si>
  <si>
    <t>Kellyville Land Holding #106</t>
  </si>
  <si>
    <t>Kellyville Land Holding #107</t>
  </si>
  <si>
    <t>Kellyville Land Holding #108</t>
  </si>
  <si>
    <t>Glenwood Land Holding #6</t>
  </si>
  <si>
    <t>Kellyville Land Holding #109</t>
  </si>
  <si>
    <t>Kellyville Easement #1</t>
  </si>
  <si>
    <t>Kellyville Land Holding #110</t>
  </si>
  <si>
    <t>Kellyville Land Holding #111</t>
  </si>
  <si>
    <t>Kellyville Land Holding #112</t>
  </si>
  <si>
    <t>Kellyville Land Holding #113</t>
  </si>
  <si>
    <t>Norwest Easement #1</t>
  </si>
  <si>
    <t>Kellyville Easement #2</t>
  </si>
  <si>
    <t>Kellyville Land Holding #114</t>
  </si>
  <si>
    <t>Kellyville Easement #3</t>
  </si>
  <si>
    <t>Kellyville Land Holding #115</t>
  </si>
  <si>
    <t>Kellyville Land Holding #116</t>
  </si>
  <si>
    <t>Kellyville Land Holding #117</t>
  </si>
  <si>
    <t>Kellyville Land Holding #118</t>
  </si>
  <si>
    <t>Kellyville Land Holding #119</t>
  </si>
  <si>
    <t>Rouse Hill Easement #1</t>
  </si>
  <si>
    <t>Kellyville Land Holding #120</t>
  </si>
  <si>
    <t>Rouse Hill Land Holding #41</t>
  </si>
  <si>
    <t>Kellyville Easement #4</t>
  </si>
  <si>
    <t>Kellyville Easement #5</t>
  </si>
  <si>
    <t>Kellyville Land Holding #121</t>
  </si>
  <si>
    <t>Kellyville Land Holding #122</t>
  </si>
  <si>
    <t>Kellyville Easement #6</t>
  </si>
  <si>
    <t>Kellyville Easement #7</t>
  </si>
  <si>
    <t>Kellyville Easement #8</t>
  </si>
  <si>
    <t>Kellyville Easement #9</t>
  </si>
  <si>
    <t>Kellyville Easement #10</t>
  </si>
  <si>
    <t>Kellyville Easement #11</t>
  </si>
  <si>
    <t>Kellyville Land Holding #123</t>
  </si>
  <si>
    <t>Kellyville Land Holding #124</t>
  </si>
  <si>
    <t>Kellyville Land Holding #125</t>
  </si>
  <si>
    <t>Kellyville Land Holding #126</t>
  </si>
  <si>
    <t>Kellyville Land Holding #127</t>
  </si>
  <si>
    <t>Kellyville Land Holding #128</t>
  </si>
  <si>
    <t>Kellyville Land Holding #129</t>
  </si>
  <si>
    <t>Kellyville Easement #12</t>
  </si>
  <si>
    <t>Kellyville Easement #13</t>
  </si>
  <si>
    <t>Kellyville Easement #14</t>
  </si>
  <si>
    <t>Kellyville Easement #15</t>
  </si>
  <si>
    <t>Kellyville Easement #16</t>
  </si>
  <si>
    <t>Kellyville Easement #17</t>
  </si>
  <si>
    <t>Kellyville Easement #18</t>
  </si>
  <si>
    <t>Kellyville Easement #19</t>
  </si>
  <si>
    <t>Kellyville Easement #20</t>
  </si>
  <si>
    <t>Kellyville Easement #21</t>
  </si>
  <si>
    <t>The Ponds Easement #1</t>
  </si>
  <si>
    <t>The Ponds Easement #2</t>
  </si>
  <si>
    <t>The Ponds Easement #3</t>
  </si>
  <si>
    <t>The Ponds Easement #4</t>
  </si>
  <si>
    <t>The Ponds Easement #5</t>
  </si>
  <si>
    <t>The Ponds Easement #6</t>
  </si>
  <si>
    <t>The Ponds Land Holding #1</t>
  </si>
  <si>
    <t>The Ponds Land Holding #2</t>
  </si>
  <si>
    <t>The Ponds Easement #7</t>
  </si>
  <si>
    <t>The Ponds Land Holding #3</t>
  </si>
  <si>
    <t>Kellyville Land Holding #130</t>
  </si>
  <si>
    <t>Kellyville Easement #22</t>
  </si>
  <si>
    <t>Kellyville Easement #23</t>
  </si>
  <si>
    <t>Kellyville Easement #24</t>
  </si>
  <si>
    <t>Kellyville Land Holding #131</t>
  </si>
  <si>
    <t>Kellyville Land Holding #132</t>
  </si>
  <si>
    <t>Kellyville Land Holding #133</t>
  </si>
  <si>
    <t>Kellyville Easement #25</t>
  </si>
  <si>
    <t>Rouse Hill Easement #2</t>
  </si>
  <si>
    <t>Kellyville Easement #26</t>
  </si>
  <si>
    <t>Kellyville Land Holding #134</t>
  </si>
  <si>
    <t>Kellyville Easement #27</t>
  </si>
  <si>
    <t>Kellyville Easement #28</t>
  </si>
  <si>
    <t>Kellyville Easement #29</t>
  </si>
  <si>
    <t>Rouse Hill Easement #3</t>
  </si>
  <si>
    <t>Kellyville Easement #30</t>
  </si>
  <si>
    <t>Kellyville Land Holding #135</t>
  </si>
  <si>
    <t>Kellyville Easement #31</t>
  </si>
  <si>
    <t>Kellyville Easement #32</t>
  </si>
  <si>
    <t>Rouse Hill Easement #4</t>
  </si>
  <si>
    <t>Kellyville Land Holding #136</t>
  </si>
  <si>
    <t>Kellyville Land Holding #137</t>
  </si>
  <si>
    <t>Kellyville Land Holding #138</t>
  </si>
  <si>
    <t>Kellyville Land Holding #139</t>
  </si>
  <si>
    <t>Kellyville Land Holding #140</t>
  </si>
  <si>
    <t>Kellyville Easement #33</t>
  </si>
  <si>
    <t>Kellyville Easement #34</t>
  </si>
  <si>
    <t>The Ponds Easement #8</t>
  </si>
  <si>
    <t>Rouse Hill Easement #5</t>
  </si>
  <si>
    <t>Bella Vista Land Holding #1</t>
  </si>
  <si>
    <t>borrowing costs</t>
  </si>
  <si>
    <t>Kellyville Easement #35</t>
  </si>
  <si>
    <t>Kellyville Easement #36</t>
  </si>
  <si>
    <t>Rouse Hill Easement #6</t>
  </si>
  <si>
    <t>Kellyville Easement #37</t>
  </si>
  <si>
    <t>Kellyville Easement #38</t>
  </si>
  <si>
    <t>Kellyville Easement #39</t>
  </si>
  <si>
    <t>Bella Vista Land Holding #2</t>
  </si>
  <si>
    <t>Bella Vista Land Holding #3</t>
  </si>
  <si>
    <t>SW_099-D-RCNC</t>
  </si>
  <si>
    <t>pipe</t>
  </si>
  <si>
    <t>SW_099-D-CPRR</t>
  </si>
  <si>
    <t>ROUSE HLD-D-RCNC</t>
  </si>
  <si>
    <t>ROUSE HLD-D-CPRR</t>
  </si>
  <si>
    <t>ROUSE HLD-D-UPVC</t>
  </si>
  <si>
    <t>ROUSE HLD-D-PETH</t>
  </si>
  <si>
    <t>SW099 StrangersCreekStormRehab</t>
  </si>
  <si>
    <t>CapBorrowCst20024686Strangers</t>
  </si>
  <si>
    <t>Basin16 PreventStormwaterFlood</t>
  </si>
  <si>
    <t>ROUSE HLD-D-VCPE</t>
  </si>
  <si>
    <t>Strangers Creek Rehabilitation</t>
  </si>
  <si>
    <t>CapBrwCst20024686Strangers crk</t>
  </si>
  <si>
    <t>STRANGERS CREEK REHABILITATION</t>
  </si>
  <si>
    <t>Strangers Creek 1900m rehab</t>
  </si>
  <si>
    <t>CapBrwCst20024686Strangers cre</t>
  </si>
  <si>
    <t>CapBrwCst20024686Strangerscree</t>
  </si>
  <si>
    <t>CapBrwCst 20024686 Strangers creek trunk const</t>
  </si>
  <si>
    <t>ROUSE HLD_D_CPRR</t>
  </si>
  <si>
    <t>ROUSE HLD_D_RCNC</t>
  </si>
  <si>
    <t>StrangersCrKellyvilleRehab1900m_bed&amp;banksstone_veg</t>
  </si>
  <si>
    <t>ROUSE HLD_D_UPVC</t>
  </si>
  <si>
    <t>StormwaterFencing2022-ROUSE HILL RMA</t>
  </si>
  <si>
    <t>EQUIVALENT TENEMENTS (ETs) SINCE 1 JULY 1996 RELATING TO THE DSP UNDER CONSIDERATION</t>
  </si>
  <si>
    <t>ET assumption (hectares/ET)</t>
  </si>
  <si>
    <t>Single dwelling net developable area</t>
  </si>
  <si>
    <t>Multi res net developable area</t>
  </si>
  <si>
    <t>Non-residential net developable area</t>
  </si>
  <si>
    <t>Consumption assumption</t>
  </si>
  <si>
    <t>hectares/property</t>
  </si>
  <si>
    <t>hectares/ET</t>
  </si>
  <si>
    <t>Total new ETs in DSP area</t>
  </si>
  <si>
    <r>
      <t>Annual take-up of single residential development (m</t>
    </r>
    <r>
      <rPr>
        <vertAlign val="superscript"/>
        <sz val="9"/>
        <rFont val="Arial"/>
        <family val="2"/>
      </rPr>
      <t>2</t>
    </r>
    <r>
      <rPr>
        <sz val="9"/>
        <rFont val="Arial"/>
        <family val="2"/>
      </rPr>
      <t>)</t>
    </r>
  </si>
  <si>
    <r>
      <t>Annual take-up of multi residential development (m</t>
    </r>
    <r>
      <rPr>
        <vertAlign val="superscript"/>
        <sz val="9"/>
        <rFont val="Arial"/>
        <family val="2"/>
      </rPr>
      <t>2</t>
    </r>
    <r>
      <rPr>
        <sz val="9"/>
        <rFont val="Arial"/>
        <family val="2"/>
      </rPr>
      <t>)</t>
    </r>
  </si>
  <si>
    <r>
      <t>Annual take-up of non-residential development (m</t>
    </r>
    <r>
      <rPr>
        <vertAlign val="superscript"/>
        <sz val="9"/>
        <rFont val="Arial"/>
        <family val="2"/>
      </rPr>
      <t>2</t>
    </r>
    <r>
      <rPr>
        <sz val="9"/>
        <rFont val="Arial"/>
        <family val="2"/>
      </rPr>
      <t>)</t>
    </r>
  </si>
  <si>
    <t>Do not delete section below - this is where the user can enter alternative consumption assumption options for non-residential customer groups.</t>
  </si>
  <si>
    <t>Non-residential development</t>
  </si>
  <si>
    <t>The plural of the units will only affect headings.</t>
  </si>
  <si>
    <t>POST-1996 UNCOMMISSIONED ASSETS WITH A NEXUS TO THE SERVICE FOR WHICH THE MAXIMUM PRICE IS BEING CALCULATED</t>
  </si>
  <si>
    <t>Register of uncommissioned assets</t>
  </si>
  <si>
    <t>Rouse Hill Wetland Renewal</t>
  </si>
  <si>
    <t>Rouse Hill Erosion Control Works</t>
  </si>
  <si>
    <t>Elizabeth Macarthur Creek Trunk Drainage Works</t>
  </si>
  <si>
    <t xml:space="preserve">Basin 40 Rehabilitation </t>
  </si>
  <si>
    <t xml:space="preserve">Basin 42 Rehabilitation </t>
  </si>
  <si>
    <t>Linear Assets (Mains) Renewals</t>
  </si>
  <si>
    <t>Non-Linear Assets (Basins) Renewals</t>
  </si>
  <si>
    <t>'REDUCTION AMOUNT' : CALCULATIONS</t>
  </si>
  <si>
    <t>Link to Report and Determination:</t>
  </si>
  <si>
    <r>
      <t>Please present all data and calculations related to the generation of the time series for R</t>
    </r>
    <r>
      <rPr>
        <vertAlign val="subscript"/>
        <sz val="9"/>
        <rFont val="Arial"/>
        <family val="2"/>
      </rPr>
      <t>i</t>
    </r>
    <r>
      <rPr>
        <sz val="9"/>
        <rFont val="Arial"/>
        <family val="2"/>
      </rPr>
      <t xml:space="preserve"> and C</t>
    </r>
    <r>
      <rPr>
        <vertAlign val="subscript"/>
        <sz val="9"/>
        <rFont val="Arial"/>
        <family val="2"/>
      </rPr>
      <t>i</t>
    </r>
    <r>
      <rPr>
        <sz val="9"/>
        <rFont val="Arial"/>
        <family val="2"/>
      </rPr>
      <t xml:space="preserve"> in this worksheet.</t>
    </r>
  </si>
  <si>
    <t>Where:</t>
  </si>
  <si>
    <r>
      <t>R</t>
    </r>
    <r>
      <rPr>
        <vertAlign val="subscript"/>
        <sz val="9"/>
        <rFont val="Arial"/>
        <family val="2"/>
      </rPr>
      <t>i</t>
    </r>
    <r>
      <rPr>
        <sz val="9"/>
        <rFont val="Arial"/>
        <family val="2"/>
      </rPr>
      <t xml:space="preserve"> </t>
    </r>
  </si>
  <si>
    <t>= the Agency’s estimate of the future periodic revenues to be received from new customers in the relevant DSP Area in each financial year i, estimated in accordance with clause 4 of Schedule 5 of the Determination and set out in the relevant DSP.</t>
  </si>
  <si>
    <r>
      <t>C</t>
    </r>
    <r>
      <rPr>
        <vertAlign val="subscript"/>
        <sz val="9"/>
        <rFont val="Arial"/>
        <family val="2"/>
      </rPr>
      <t>i</t>
    </r>
    <r>
      <rPr>
        <sz val="9"/>
        <rFont val="Arial"/>
        <family val="2"/>
      </rPr>
      <t xml:space="preserve"> </t>
    </r>
  </si>
  <si>
    <t>= the Agency’s estimate of the future operating, maintenance and administration costs of servicing all new customers in the DSP Area in each financial year i (excluding, for the avoidance of doubt, any Capital Costs), estimated in accordance with clause 5 of Schedule 5 of the Determination and set out in the relevant DSP.</t>
  </si>
  <si>
    <r>
      <t>R</t>
    </r>
    <r>
      <rPr>
        <vertAlign val="subscript"/>
        <sz val="9"/>
        <rFont val="Arial"/>
        <family val="2"/>
      </rPr>
      <t>i</t>
    </r>
    <r>
      <rPr>
        <sz val="9"/>
        <rFont val="Arial"/>
        <family val="2"/>
      </rPr>
      <t xml:space="preserve"> :</t>
    </r>
  </si>
  <si>
    <r>
      <t>C</t>
    </r>
    <r>
      <rPr>
        <vertAlign val="subscript"/>
        <sz val="9"/>
        <rFont val="Arial"/>
        <family val="2"/>
      </rPr>
      <t>i</t>
    </r>
    <r>
      <rPr>
        <sz val="9"/>
        <rFont val="Arial"/>
        <family val="2"/>
      </rPr>
      <t xml:space="preserve"> :</t>
    </r>
  </si>
  <si>
    <r>
      <t>Required timeframe for R</t>
    </r>
    <r>
      <rPr>
        <vertAlign val="subscript"/>
        <sz val="9"/>
        <rFont val="Arial"/>
        <family val="2"/>
      </rPr>
      <t>i</t>
    </r>
    <r>
      <rPr>
        <sz val="9"/>
        <rFont val="Arial"/>
        <family val="2"/>
      </rPr>
      <t xml:space="preserve"> and C</t>
    </r>
    <r>
      <rPr>
        <vertAlign val="subscript"/>
        <sz val="9"/>
        <rFont val="Arial"/>
        <family val="2"/>
      </rPr>
      <t>i</t>
    </r>
    <r>
      <rPr>
        <sz val="9"/>
        <rFont val="Arial"/>
        <family val="2"/>
      </rPr>
      <t>:</t>
    </r>
  </si>
  <si>
    <t>Start year:</t>
  </si>
  <si>
    <t>Final year:</t>
  </si>
  <si>
    <t>Notes:</t>
  </si>
  <si>
    <t>The costs expected to be incurred must be exclusive of all capital costs included in the capital charge calculation.</t>
  </si>
  <si>
    <t xml:space="preserve">Where this spreadsheet is being used to calculate the maximum price for connection of a New Development to a Recycled Water System that is a Least Cost Servicing Solution, </t>
  </si>
  <si>
    <t>the reduction amount includes the revenues that the Agency would have received had the supply of potable water not been substituted with Recycled Water, but excludes the</t>
  </si>
  <si>
    <t>revenues from the sale of Recycled Water (see Recycled Water Developer Charges Determination, Sch 1, cl 3).</t>
  </si>
  <si>
    <t xml:space="preserve">Where this spreadsheet is being used to calculate the ordinary developer charge component of the maximum price for connection of a New Development to a Recycled Water System </t>
  </si>
  <si>
    <t xml:space="preserve">that is NOT a Least Cost Servicing Solution, the relevant operating revenues and operating costs used to calculate the reduction amount are different (see Recycled Water Developer </t>
  </si>
  <si>
    <t>Charges Determination, Sch 2, cl 2.3).</t>
  </si>
  <si>
    <t>Enter analysis below this row.</t>
  </si>
  <si>
    <t>Operating costs</t>
  </si>
  <si>
    <t>Revenue</t>
  </si>
  <si>
    <t>Service revenue</t>
  </si>
  <si>
    <t>2031-32</t>
  </si>
  <si>
    <t>2032-33</t>
  </si>
  <si>
    <t>2033-34</t>
  </si>
  <si>
    <t>2034-35</t>
  </si>
  <si>
    <t>2035-36</t>
  </si>
  <si>
    <t>2036-37</t>
  </si>
  <si>
    <t>2037-38</t>
  </si>
  <si>
    <t>2038-39</t>
  </si>
  <si>
    <t>2039-40</t>
  </si>
  <si>
    <t>2040-41</t>
  </si>
  <si>
    <t>2041-42</t>
  </si>
  <si>
    <t>2042-43</t>
  </si>
  <si>
    <t>2043-44</t>
  </si>
  <si>
    <t>2044-45</t>
  </si>
  <si>
    <t>2045-46</t>
  </si>
  <si>
    <t>2046-47</t>
  </si>
  <si>
    <t>2047-48</t>
  </si>
  <si>
    <t>2048-49</t>
  </si>
  <si>
    <t>2049-50</t>
  </si>
  <si>
    <t>2050-51</t>
  </si>
  <si>
    <t>2051-52</t>
  </si>
  <si>
    <t>2052-53</t>
  </si>
  <si>
    <t>2053-54</t>
  </si>
  <si>
    <t>2054-55</t>
  </si>
  <si>
    <t>'HEADWORK ASSETS' : CALCULATIONS</t>
  </si>
  <si>
    <t>Please present, in this worksheet, the underlying high level data and analysis related to the generation of the Headworks cost per ET for the service for which this maximum price is being calculated.</t>
  </si>
  <si>
    <t>Please manually enter or link the calculated headwork cost per ET to cell</t>
  </si>
  <si>
    <t xml:space="preserve">Notes:  </t>
  </si>
  <si>
    <t>As explained in IPART's Report (Box 2.4, page 29) , headworks not owned by the agency should also be included in these calculations.</t>
  </si>
  <si>
    <t>'SCHEME COST ALLOCATION' : CALCULATIONS</t>
  </si>
  <si>
    <t>Please present, in this worksheet, the underlying high level data and analysis related to the generation of the scheme cost allocation per ET for the service for which this maximum price is being calculated.</t>
  </si>
  <si>
    <t>Please refer to the above link for guidance on calculating the scheme cost allocation amount.</t>
  </si>
  <si>
    <t>Gifted Asset Deduction Rate</t>
  </si>
  <si>
    <t>ETs Utilisation Factor</t>
  </si>
  <si>
    <t>Factor</t>
  </si>
  <si>
    <t>AFOC (MEERA Value)</t>
  </si>
  <si>
    <t>Total MEERA value (Incl AFOC)</t>
  </si>
  <si>
    <t>Proportional Factor</t>
  </si>
  <si>
    <t>Total ETs by 1970</t>
  </si>
  <si>
    <t>Total ETs at 31 Dec 1995</t>
  </si>
  <si>
    <t>Total ETs from 1996 to 2056</t>
  </si>
  <si>
    <t>Total ETs at end of review period</t>
  </si>
  <si>
    <t>Total ETs from 1996 to 2025</t>
  </si>
  <si>
    <t>WHAT THE DETERMINATION SAYS ABOUT ASSET EXCLUSIONS</t>
  </si>
  <si>
    <t>Excluded Assets means:</t>
  </si>
  <si>
    <t>(a)</t>
  </si>
  <si>
    <t>that part of an asset provided for a reason other than to service a growth area;</t>
  </si>
  <si>
    <t>(b)</t>
  </si>
  <si>
    <t>that part of an asset that services other DSP Areas;</t>
  </si>
  <si>
    <t>(c)</t>
  </si>
  <si>
    <t>the capacity of an asset that was made available by changes in land use patterns, or by changes in average demand;</t>
  </si>
  <si>
    <t>(d)</t>
  </si>
  <si>
    <t>any asset or part of an asset that was unreasonably oversized relative to system and capacity requirements, based on available demographic data at the time it was commissioned;</t>
  </si>
  <si>
    <t>(e)</t>
  </si>
  <si>
    <t>any Pre-1970 Assets; and</t>
  </si>
  <si>
    <t>(f)</t>
  </si>
  <si>
    <t>any assets or part of an asset funded by Developers and transferred free of charge to the Agency.</t>
  </si>
  <si>
    <t>For the removal of doubt, the Determination defines assets as:</t>
  </si>
  <si>
    <t>all assets or parts of assets (including headworks), apart from Excluded Assets, allocated to a DSP where there is a nexus (close connection) to the Development they are intended to serve and includes assets that:</t>
  </si>
  <si>
    <t xml:space="preserve">(a) </t>
  </si>
  <si>
    <t>were commissioned prior to the Commencement Date;</t>
  </si>
  <si>
    <t xml:space="preserve">(b) </t>
  </si>
  <si>
    <t>were commissioned after the Commencement Date but before the Development commenced; and</t>
  </si>
  <si>
    <t xml:space="preserve">(c) </t>
  </si>
  <si>
    <t>are commissioned, or are to be commissioned, after the Development commences.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</si>
</sst>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Red]\-&quot;$&quot;#,##0"/>
    <numFmt numFmtId="8" formatCode="&quot;$&quot;#,##0.00;[Red]\-&quot;$&quot;#,##0.00"/>
    <numFmt numFmtId="41" formatCode="_-* #,##0_-;\-* #,##0_-;_-* &quot;-&quot;_-;_-@_-"/>
    <numFmt numFmtId="44" formatCode="_-&quot;$&quot;* #,##0.00_-;\-&quot;$&quot;* #,##0.00_-;_-&quot;$&quot;* &quot;-&quot;??_-;_-@_-"/>
    <numFmt numFmtId="43" formatCode="_-* #,##0.00_-;\-* #,##0.00_-;_-* &quot;-&quot;??_-;_-@_-"/>
    <numFmt numFmtId="164" formatCode="_(* #,##0.00_);_(* \(#,##0.00\);_(* &quot;-&quot;_);_(@_)"/>
    <numFmt numFmtId="165" formatCode="0.0%"/>
    <numFmt numFmtId="166" formatCode="#,##0.0"/>
    <numFmt numFmtId="167" formatCode="_(* #,##0.0_);_(* \(#,##0.0\);_(* &quot;-&quot;??_);_(@_)"/>
    <numFmt numFmtId="168" formatCode="[$-C09]dd\-mmmm\-yyyy;@"/>
    <numFmt numFmtId="169" formatCode="[$-C09]d\ mmmm\ yyyy;@"/>
    <numFmt numFmtId="170" formatCode="dd\ mmm\ yyyy"/>
    <numFmt numFmtId="171" formatCode="yyyy\-*y"/>
    <numFmt numFmtId="172" formatCode="&quot;$&quot;#,##0"/>
    <numFmt numFmtId="173" formatCode="#,##0.000"/>
    <numFmt numFmtId="174" formatCode="mmmm\ yyyy"/>
    <numFmt numFmtId="175" formatCode="&quot;$&quot;#,##0.00"/>
    <numFmt numFmtId="176" formatCode="###,000"/>
    <numFmt numFmtId="177" formatCode="0.0000000"/>
  </numFmts>
  <fonts count="30" x14ac:knownFonts="1">
    <font>
      <sz val="9"/>
      <name val="Arial"/>
      <family val="2"/>
    </font>
    <font>
      <sz val="11"/>
      <color theme="1"/>
      <name val="Book Antiqua"/>
      <family val="2"/>
      <scheme val="minor"/>
    </font>
    <font>
      <sz val="9"/>
      <name val="Arial"/>
      <family val="2"/>
    </font>
    <font>
      <sz val="9"/>
      <color indexed="14"/>
      <name val="Arial"/>
      <family val="2"/>
    </font>
    <font>
      <sz val="9"/>
      <color indexed="10"/>
      <name val="Arial"/>
      <family val="2"/>
    </font>
    <font>
      <sz val="9"/>
      <color indexed="12"/>
      <name val="Arial"/>
      <family val="2"/>
    </font>
    <font>
      <b/>
      <sz val="9"/>
      <color indexed="9"/>
      <name val="Arial"/>
      <family val="2"/>
    </font>
    <font>
      <b/>
      <sz val="9"/>
      <color indexed="57"/>
      <name val="Arial"/>
      <family val="2"/>
    </font>
    <font>
      <b/>
      <sz val="14"/>
      <name val="Arial"/>
      <family val="2"/>
    </font>
    <font>
      <sz val="11"/>
      <name val="Arial"/>
      <family val="2"/>
    </font>
    <font>
      <b/>
      <sz val="12"/>
      <name val="Arial"/>
      <family val="2"/>
    </font>
    <font>
      <b/>
      <sz val="9"/>
      <name val="Arial"/>
      <family val="2"/>
    </font>
    <font>
      <b/>
      <sz val="16"/>
      <name val="Arial"/>
      <family val="2"/>
    </font>
    <font>
      <u/>
      <sz val="9"/>
      <color theme="10"/>
      <name val="Arial"/>
      <family val="2"/>
    </font>
    <font>
      <b/>
      <sz val="11"/>
      <name val="Arial"/>
      <family val="2"/>
    </font>
    <font>
      <b/>
      <sz val="9"/>
      <color rgb="FFFF0000"/>
      <name val="Arial"/>
      <family val="2"/>
    </font>
    <font>
      <sz val="10"/>
      <color indexed="9"/>
      <name val="Arial"/>
      <family val="2"/>
    </font>
    <font>
      <i/>
      <sz val="9"/>
      <name val="Arial"/>
      <family val="2"/>
    </font>
    <font>
      <sz val="9"/>
      <color indexed="81"/>
      <name val="Tahoma"/>
      <family val="2"/>
    </font>
    <font>
      <b/>
      <sz val="9"/>
      <color indexed="81"/>
      <name val="Tahoma"/>
      <family val="2"/>
    </font>
    <font>
      <sz val="9"/>
      <color rgb="FFFF0000"/>
      <name val="Arial"/>
      <family val="2"/>
    </font>
    <font>
      <sz val="9"/>
      <color theme="0" tint="-0.14996795556505021"/>
      <name val="Arial"/>
      <family val="2"/>
    </font>
    <font>
      <vertAlign val="subscript"/>
      <sz val="9"/>
      <name val="Arial"/>
      <family val="2"/>
    </font>
    <font>
      <vertAlign val="subscript"/>
      <sz val="9"/>
      <color indexed="81"/>
      <name val="Tahoma"/>
      <family val="2"/>
    </font>
    <font>
      <sz val="9"/>
      <color theme="1"/>
      <name val="Arial"/>
      <family val="2"/>
    </font>
    <font>
      <b/>
      <sz val="10"/>
      <name val="Arial"/>
      <family val="2"/>
    </font>
    <font>
      <sz val="10"/>
      <name val="Arial"/>
      <family val="2"/>
    </font>
    <font>
      <vertAlign val="superscript"/>
      <sz val="9"/>
      <name val="Arial"/>
      <family val="2"/>
    </font>
    <font>
      <b/>
      <sz val="8"/>
      <color rgb="FF1F497D"/>
      <name val="Verdana"/>
      <family val="2"/>
    </font>
    <font>
      <sz val="8"/>
      <color rgb="FF1F497D"/>
      <name val="Verdana"/>
      <family val="2"/>
    </font>
  </fonts>
  <fills count="15">
    <fill>
      <patternFill patternType="none"/>
    </fill>
    <fill>
      <patternFill patternType="gray125"/>
    </fill>
    <fill>
      <patternFill patternType="lightGray">
        <fgColor indexed="13"/>
      </patternFill>
    </fill>
    <fill>
      <patternFill patternType="solid">
        <fgColor indexed="41"/>
        <bgColor indexed="64"/>
      </patternFill>
    </fill>
    <fill>
      <patternFill patternType="solid">
        <fgColor indexed="44"/>
        <bgColor indexed="64"/>
      </patternFill>
    </fill>
    <fill>
      <patternFill patternType="solid">
        <fgColor indexed="18"/>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indexed="18"/>
        <bgColor indexed="15"/>
      </patternFill>
    </fill>
    <fill>
      <patternFill patternType="solid">
        <fgColor theme="0"/>
        <bgColor indexed="15"/>
      </patternFill>
    </fill>
    <fill>
      <patternFill patternType="solid">
        <fgColor indexed="44"/>
        <bgColor indexed="15"/>
      </patternFill>
    </fill>
    <fill>
      <patternFill patternType="solid">
        <fgColor rgb="FFDDDDDD"/>
        <bgColor indexed="64"/>
      </patternFill>
    </fill>
    <fill>
      <patternFill patternType="solid">
        <fgColor rgb="FFDBE5F1"/>
        <bgColor rgb="FF000000"/>
      </patternFill>
    </fill>
    <fill>
      <patternFill patternType="solid">
        <fgColor rgb="FFDBE5F1"/>
        <bgColor rgb="FFFFFFFF"/>
      </patternFill>
    </fill>
  </fills>
  <borders count="26">
    <border>
      <left/>
      <right/>
      <top/>
      <bottom/>
      <diagonal/>
    </border>
    <border>
      <left/>
      <right style="double">
        <color theme="6"/>
      </right>
      <top/>
      <bottom/>
      <diagonal/>
    </border>
    <border>
      <left/>
      <right/>
      <top/>
      <bottom style="thin">
        <color indexed="64"/>
      </bottom>
      <diagonal/>
    </border>
    <border>
      <left/>
      <right/>
      <top style="thin">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10"/>
      </left>
      <right/>
      <top/>
      <bottom/>
      <diagonal/>
    </border>
    <border>
      <left/>
      <right style="thin">
        <color indexed="64"/>
      </right>
      <top style="thin">
        <color indexed="64"/>
      </top>
      <bottom style="thin">
        <color indexed="64"/>
      </bottom>
      <diagonal/>
    </border>
    <border>
      <left/>
      <right style="thin">
        <color indexed="64"/>
      </right>
      <top/>
      <bottom/>
      <diagonal/>
    </border>
    <border>
      <left/>
      <right/>
      <top/>
      <bottom style="double">
        <color rgb="FFFF0000"/>
      </bottom>
      <diagonal/>
    </border>
    <border>
      <left/>
      <right/>
      <top style="double">
        <color rgb="FFFF0000"/>
      </top>
      <bottom/>
      <diagonal/>
    </border>
    <border>
      <left/>
      <right/>
      <top style="double">
        <color rgb="FFFF0000"/>
      </top>
      <bottom style="double">
        <color rgb="FFFF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style="thin">
        <color indexed="64"/>
      </right>
      <top/>
      <bottom style="double">
        <color rgb="FFFF0000"/>
      </bottom>
      <diagonal/>
    </border>
    <border>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
      <left style="thin">
        <color indexed="64"/>
      </left>
      <right style="thin">
        <color indexed="64"/>
      </right>
      <top/>
      <bottom style="double">
        <color indexed="64"/>
      </bottom>
      <diagonal/>
    </border>
  </borders>
  <cellStyleXfs count="28">
    <xf numFmtId="0" fontId="0" fillId="0" borderId="0"/>
    <xf numFmtId="43" fontId="2" fillId="0" borderId="0" applyFont="0" applyFill="0" applyBorder="0" applyAlignment="0" applyProtection="0"/>
    <xf numFmtId="41" fontId="2" fillId="0" borderId="0" applyFont="0" applyFill="0" applyBorder="0" applyAlignment="0" applyProtection="0"/>
    <xf numFmtId="0" fontId="2" fillId="0" borderId="1" applyNumberFormat="0" applyFont="0" applyFill="0" applyAlignment="0" applyProtection="0"/>
    <xf numFmtId="164" fontId="3" fillId="0" borderId="0" applyNumberFormat="0" applyFill="0" applyBorder="0" applyAlignment="0">
      <alignment horizontal="left"/>
    </xf>
    <xf numFmtId="0" fontId="4" fillId="0" borderId="0" applyNumberFormat="0" applyFill="0" applyBorder="0" applyAlignment="0"/>
    <xf numFmtId="4" fontId="2" fillId="4" borderId="0" applyBorder="0" applyAlignment="0">
      <alignment horizontal="right"/>
      <protection locked="0"/>
    </xf>
    <xf numFmtId="165" fontId="2" fillId="4" borderId="0" applyBorder="0" applyAlignment="0">
      <alignment horizontal="right"/>
      <protection locked="0"/>
    </xf>
    <xf numFmtId="3" fontId="5" fillId="0" borderId="0" applyNumberFormat="0" applyFill="0" applyBorder="0" applyAlignment="0" applyProtection="0">
      <protection locked="0"/>
    </xf>
    <xf numFmtId="41" fontId="6" fillId="5" borderId="0" applyNumberFormat="0" applyBorder="0" applyAlignment="0"/>
    <xf numFmtId="0" fontId="7" fillId="0" borderId="0" applyNumberFormat="0" applyFill="0" applyBorder="0" applyAlignment="0" applyProtection="0"/>
    <xf numFmtId="0" fontId="13" fillId="0" borderId="0" applyNumberFormat="0" applyFill="0" applyBorder="0" applyAlignment="0" applyProtection="0"/>
    <xf numFmtId="166" fontId="2" fillId="2" borderId="0" applyBorder="0">
      <alignment horizontal="right"/>
      <protection locked="0"/>
    </xf>
    <xf numFmtId="165" fontId="2" fillId="3" borderId="0" applyBorder="0" applyAlignment="0">
      <protection locked="0"/>
    </xf>
    <xf numFmtId="0" fontId="15" fillId="7" borderId="0" applyNumberFormat="0" applyBorder="0" applyAlignment="0" applyProtection="0"/>
    <xf numFmtId="165" fontId="2" fillId="2" borderId="0" applyBorder="0" applyAlignment="0">
      <alignment horizontal="left"/>
      <protection locked="0"/>
    </xf>
    <xf numFmtId="166" fontId="2" fillId="3" borderId="2" applyBorder="0" applyAlignment="0">
      <alignment horizontal="right"/>
      <protection locked="0"/>
    </xf>
    <xf numFmtId="10" fontId="2" fillId="4" borderId="0" applyBorder="0" applyAlignment="0">
      <alignment horizontal="right"/>
      <protection locked="0"/>
    </xf>
    <xf numFmtId="9" fontId="16" fillId="0" borderId="0" applyFont="0" applyBorder="0" applyAlignment="0" applyProtection="0"/>
    <xf numFmtId="9" fontId="16" fillId="0" borderId="0" applyFont="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28" fillId="13" borderId="23" applyNumberFormat="0" applyAlignment="0" applyProtection="0">
      <alignment horizontal="left" vertical="center" indent="1"/>
    </xf>
    <xf numFmtId="176" fontId="29" fillId="14" borderId="23" applyNumberFormat="0" applyAlignment="0" applyProtection="0">
      <alignment horizontal="left" vertical="center" indent="1"/>
    </xf>
    <xf numFmtId="0" fontId="1" fillId="0" borderId="0"/>
    <xf numFmtId="0" fontId="1" fillId="0" borderId="0"/>
    <xf numFmtId="176" fontId="29" fillId="0" borderId="24" applyNumberFormat="0" applyProtection="0">
      <alignment horizontal="right" vertical="center"/>
    </xf>
    <xf numFmtId="0" fontId="1" fillId="0" borderId="0"/>
  </cellStyleXfs>
  <cellXfs count="277">
    <xf numFmtId="0" fontId="0" fillId="0" borderId="0" xfId="0"/>
    <xf numFmtId="0" fontId="10" fillId="0" borderId="0" xfId="0" applyFont="1"/>
    <xf numFmtId="0" fontId="11" fillId="0" borderId="0" xfId="0" applyFont="1"/>
    <xf numFmtId="0" fontId="12" fillId="0" borderId="0" xfId="0" applyFont="1"/>
    <xf numFmtId="0" fontId="21" fillId="0" borderId="0" xfId="8" applyNumberFormat="1" applyFont="1" applyProtection="1"/>
    <xf numFmtId="170" fontId="5" fillId="0" borderId="5" xfId="8" applyNumberFormat="1" applyBorder="1" applyAlignment="1" applyProtection="1">
      <alignment horizontal="center"/>
    </xf>
    <xf numFmtId="165" fontId="5" fillId="0" borderId="5" xfId="8" applyNumberFormat="1" applyBorder="1" applyAlignment="1" applyProtection="1">
      <alignment horizontal="center"/>
    </xf>
    <xf numFmtId="0" fontId="5" fillId="0" borderId="5" xfId="8" applyNumberFormat="1" applyBorder="1" applyAlignment="1" applyProtection="1">
      <alignment horizontal="center"/>
    </xf>
    <xf numFmtId="0" fontId="0" fillId="7" borderId="0" xfId="0" applyFill="1"/>
    <xf numFmtId="0" fontId="20" fillId="0" borderId="0" xfId="0" applyFont="1" applyAlignment="1">
      <alignment horizontal="left"/>
    </xf>
    <xf numFmtId="0" fontId="20" fillId="6" borderId="0" xfId="0" applyFont="1" applyFill="1"/>
    <xf numFmtId="0" fontId="5" fillId="0" borderId="0" xfId="8" applyNumberFormat="1" applyFill="1" applyProtection="1"/>
    <xf numFmtId="0" fontId="15" fillId="6" borderId="0" xfId="14" applyFill="1"/>
    <xf numFmtId="0" fontId="12" fillId="0" borderId="0" xfId="0" quotePrefix="1" applyFont="1"/>
    <xf numFmtId="172" fontId="0" fillId="0" borderId="0" xfId="0" applyNumberFormat="1"/>
    <xf numFmtId="0" fontId="13" fillId="0" borderId="0" xfId="11" applyFill="1" applyBorder="1" applyAlignment="1">
      <alignment horizontal="left" vertical="top"/>
    </xf>
    <xf numFmtId="0" fontId="0" fillId="6" borderId="5" xfId="0" applyFill="1" applyBorder="1" applyAlignment="1">
      <alignment horizontal="center"/>
    </xf>
    <xf numFmtId="0" fontId="5" fillId="6" borderId="21" xfId="8" applyNumberFormat="1" applyFill="1" applyBorder="1" applyAlignment="1" applyProtection="1">
      <alignment horizontal="right"/>
    </xf>
    <xf numFmtId="0" fontId="20" fillId="6" borderId="0" xfId="14" applyFont="1" applyFill="1" applyAlignment="1">
      <alignment horizontal="left"/>
    </xf>
    <xf numFmtId="0" fontId="0" fillId="0" borderId="5" xfId="0" applyBorder="1" applyAlignment="1">
      <alignment vertical="top" wrapText="1"/>
    </xf>
    <xf numFmtId="0" fontId="0" fillId="0" borderId="5" xfId="0" applyBorder="1"/>
    <xf numFmtId="0" fontId="0" fillId="0" borderId="6" xfId="0" applyBorder="1" applyAlignment="1">
      <alignment vertical="top" wrapText="1"/>
    </xf>
    <xf numFmtId="0" fontId="0" fillId="0" borderId="5" xfId="0" applyBorder="1" applyAlignment="1">
      <alignment horizontal="center" vertical="top"/>
    </xf>
    <xf numFmtId="174" fontId="0" fillId="0" borderId="5" xfId="0" applyNumberFormat="1" applyBorder="1" applyAlignment="1">
      <alignment horizontal="center" vertical="top"/>
    </xf>
    <xf numFmtId="0" fontId="13" fillId="0" borderId="0" xfId="11"/>
    <xf numFmtId="0" fontId="25" fillId="0" borderId="0" xfId="0" applyFont="1"/>
    <xf numFmtId="0" fontId="25" fillId="0" borderId="22" xfId="0" applyFont="1" applyBorder="1"/>
    <xf numFmtId="0" fontId="26" fillId="0" borderId="22" xfId="0" applyFont="1" applyBorder="1"/>
    <xf numFmtId="6" fontId="26" fillId="0" borderId="0" xfId="0" applyNumberFormat="1" applyFont="1"/>
    <xf numFmtId="0" fontId="26" fillId="0" borderId="0" xfId="0" applyFont="1"/>
    <xf numFmtId="9" fontId="26" fillId="0" borderId="0" xfId="21" applyFont="1"/>
    <xf numFmtId="172" fontId="26" fillId="0" borderId="0" xfId="0" applyNumberFormat="1" applyFont="1"/>
    <xf numFmtId="3" fontId="26" fillId="0" borderId="0" xfId="0" applyNumberFormat="1" applyFont="1"/>
    <xf numFmtId="10" fontId="26" fillId="0" borderId="0" xfId="21" applyNumberFormat="1" applyFont="1"/>
    <xf numFmtId="3" fontId="26" fillId="0" borderId="0" xfId="0" applyNumberFormat="1" applyFont="1" applyAlignment="1">
      <alignment vertical="center"/>
    </xf>
    <xf numFmtId="3" fontId="26" fillId="0" borderId="0" xfId="20" applyNumberFormat="1" applyFont="1"/>
    <xf numFmtId="44" fontId="26" fillId="0" borderId="0" xfId="20" applyFont="1"/>
    <xf numFmtId="10" fontId="26" fillId="0" borderId="0" xfId="0" applyNumberFormat="1" applyFont="1"/>
    <xf numFmtId="0" fontId="12" fillId="6" borderId="0" xfId="0" applyFont="1" applyFill="1" applyProtection="1"/>
    <xf numFmtId="0" fontId="0" fillId="0" borderId="0" xfId="0" applyProtection="1"/>
    <xf numFmtId="0" fontId="13" fillId="0" borderId="0" xfId="11" applyAlignment="1" applyProtection="1">
      <alignment vertical="top"/>
    </xf>
    <xf numFmtId="0" fontId="0" fillId="6" borderId="0" xfId="0" applyFill="1" applyProtection="1"/>
    <xf numFmtId="175" fontId="6" fillId="5" borderId="0" xfId="9" applyNumberFormat="1" applyProtection="1"/>
    <xf numFmtId="172" fontId="0" fillId="0" borderId="0" xfId="0" applyNumberFormat="1" applyProtection="1"/>
    <xf numFmtId="175" fontId="0" fillId="0" borderId="0" xfId="0" applyNumberFormat="1" applyProtection="1"/>
    <xf numFmtId="0" fontId="0" fillId="6" borderId="0" xfId="0" applyFill="1" applyAlignment="1" applyProtection="1">
      <alignment horizontal="left" indent="1"/>
    </xf>
    <xf numFmtId="172" fontId="11" fillId="6" borderId="0" xfId="14" applyNumberFormat="1" applyFont="1" applyFill="1" applyProtection="1"/>
    <xf numFmtId="0" fontId="0" fillId="0" borderId="0" xfId="0" applyAlignment="1" applyProtection="1">
      <alignment horizontal="center"/>
    </xf>
    <xf numFmtId="0" fontId="24" fillId="6" borderId="0" xfId="14" applyFont="1" applyFill="1" applyProtection="1"/>
    <xf numFmtId="3" fontId="0" fillId="0" borderId="0" xfId="0" applyNumberFormat="1" applyProtection="1"/>
    <xf numFmtId="0" fontId="2" fillId="6" borderId="0" xfId="14" applyFont="1" applyFill="1" applyAlignment="1" applyProtection="1">
      <alignment vertical="center"/>
    </xf>
    <xf numFmtId="0" fontId="2" fillId="6" borderId="0" xfId="14" applyFont="1" applyFill="1" applyAlignment="1" applyProtection="1"/>
    <xf numFmtId="0" fontId="0" fillId="0" borderId="0" xfId="0" applyAlignment="1" applyProtection="1">
      <alignment horizontal="right"/>
    </xf>
    <xf numFmtId="4" fontId="2" fillId="4" borderId="5" xfId="6" applyBorder="1" applyAlignment="1" applyProtection="1"/>
    <xf numFmtId="0" fontId="12" fillId="0" borderId="0" xfId="0" applyFont="1" applyProtection="1"/>
    <xf numFmtId="0" fontId="10" fillId="0" borderId="0" xfId="0" applyFont="1" applyProtection="1"/>
    <xf numFmtId="0" fontId="0" fillId="0" borderId="2" xfId="0" applyBorder="1" applyProtection="1"/>
    <xf numFmtId="0" fontId="0" fillId="0" borderId="15" xfId="0" applyBorder="1" applyProtection="1"/>
    <xf numFmtId="0" fontId="0" fillId="0" borderId="3" xfId="0" applyBorder="1" applyProtection="1"/>
    <xf numFmtId="0" fontId="0" fillId="0" borderId="16" xfId="0" applyBorder="1" applyProtection="1"/>
    <xf numFmtId="0" fontId="0" fillId="0" borderId="17" xfId="0" applyBorder="1" applyProtection="1"/>
    <xf numFmtId="0" fontId="0" fillId="0" borderId="11" xfId="0" applyBorder="1" applyProtection="1"/>
    <xf numFmtId="0" fontId="21" fillId="0" borderId="0" xfId="0" applyFont="1" applyProtection="1"/>
    <xf numFmtId="0" fontId="0" fillId="0" borderId="18" xfId="0" applyBorder="1" applyProtection="1"/>
    <xf numFmtId="0" fontId="0" fillId="0" borderId="19" xfId="0" applyBorder="1" applyProtection="1"/>
    <xf numFmtId="0" fontId="15" fillId="0" borderId="0" xfId="0" applyFont="1" applyProtection="1"/>
    <xf numFmtId="0" fontId="8" fillId="0" borderId="0" xfId="0" applyFont="1" applyProtection="1"/>
    <xf numFmtId="0" fontId="0" fillId="6" borderId="3" xfId="0" applyFill="1" applyBorder="1" applyAlignment="1" applyProtection="1">
      <alignment wrapText="1"/>
    </xf>
    <xf numFmtId="0" fontId="0" fillId="6" borderId="3" xfId="0" applyFill="1" applyBorder="1" applyProtection="1"/>
    <xf numFmtId="0" fontId="11" fillId="0" borderId="0" xfId="0" applyFont="1" applyAlignment="1" applyProtection="1">
      <alignment horizontal="right" wrapText="1"/>
    </xf>
    <xf numFmtId="9" fontId="11" fillId="0" borderId="0" xfId="18" applyFont="1" applyAlignment="1" applyProtection="1">
      <alignment horizontal="right" wrapText="1"/>
    </xf>
    <xf numFmtId="9" fontId="11" fillId="0" borderId="0" xfId="18" applyFont="1" applyBorder="1" applyAlignment="1" applyProtection="1">
      <alignment horizontal="right" wrapText="1"/>
    </xf>
    <xf numFmtId="9" fontId="11" fillId="0" borderId="0" xfId="18" applyFont="1" applyAlignment="1" applyProtection="1">
      <alignment wrapText="1"/>
    </xf>
    <xf numFmtId="0" fontId="11" fillId="0" borderId="0" xfId="0" applyFont="1" applyProtection="1"/>
    <xf numFmtId="3" fontId="0" fillId="0" borderId="5" xfId="0" applyNumberFormat="1" applyBorder="1" applyProtection="1"/>
    <xf numFmtId="0" fontId="0" fillId="0" borderId="20" xfId="0" applyBorder="1" applyProtection="1"/>
    <xf numFmtId="3" fontId="0" fillId="0" borderId="10" xfId="0" applyNumberFormat="1" applyBorder="1" applyProtection="1"/>
    <xf numFmtId="4" fontId="6" fillId="9" borderId="0" xfId="9" applyNumberFormat="1" applyFill="1" applyBorder="1" applyProtection="1"/>
    <xf numFmtId="3" fontId="6" fillId="9" borderId="5" xfId="9" applyNumberFormat="1" applyFill="1" applyBorder="1" applyProtection="1"/>
    <xf numFmtId="0" fontId="6" fillId="5" borderId="20" xfId="9" applyNumberFormat="1" applyBorder="1" applyProtection="1"/>
    <xf numFmtId="3" fontId="6" fillId="9" borderId="10" xfId="9" applyNumberFormat="1" applyFill="1" applyBorder="1" applyProtection="1"/>
    <xf numFmtId="0" fontId="11" fillId="0" borderId="2" xfId="0" applyFont="1" applyBorder="1" applyProtection="1"/>
    <xf numFmtId="44" fontId="0" fillId="0" borderId="0" xfId="20" applyFont="1" applyProtection="1"/>
    <xf numFmtId="0" fontId="0" fillId="0" borderId="0" xfId="0" applyAlignment="1" applyProtection="1">
      <alignment wrapText="1"/>
    </xf>
    <xf numFmtId="170" fontId="0" fillId="0" borderId="0" xfId="0" applyNumberFormat="1" applyAlignment="1" applyProtection="1">
      <alignment horizontal="right"/>
    </xf>
    <xf numFmtId="0" fontId="8" fillId="0" borderId="3" xfId="0" applyFont="1" applyBorder="1" applyProtection="1"/>
    <xf numFmtId="170" fontId="0" fillId="0" borderId="3" xfId="0" applyNumberFormat="1" applyBorder="1" applyAlignment="1" applyProtection="1">
      <alignment horizontal="right"/>
    </xf>
    <xf numFmtId="0" fontId="11" fillId="6" borderId="0" xfId="14" applyFont="1" applyFill="1" applyBorder="1" applyAlignment="1" applyProtection="1">
      <alignment horizontal="center" wrapText="1"/>
    </xf>
    <xf numFmtId="0" fontId="2" fillId="6" borderId="0" xfId="0" applyFont="1" applyFill="1" applyProtection="1"/>
    <xf numFmtId="3" fontId="6" fillId="9" borderId="0" xfId="9" applyNumberFormat="1" applyFill="1" applyBorder="1" applyProtection="1"/>
    <xf numFmtId="9" fontId="0" fillId="0" borderId="2" xfId="21" applyFont="1" applyBorder="1" applyProtection="1"/>
    <xf numFmtId="0" fontId="0" fillId="6" borderId="0" xfId="0" applyFill="1" applyAlignment="1" applyProtection="1">
      <alignment wrapText="1"/>
    </xf>
    <xf numFmtId="0" fontId="3" fillId="6" borderId="3" xfId="4" applyNumberFormat="1" applyFill="1" applyBorder="1" applyAlignment="1" applyProtection="1">
      <alignment horizontal="center" wrapText="1"/>
    </xf>
    <xf numFmtId="0" fontId="11" fillId="6" borderId="0" xfId="0" applyFont="1" applyFill="1" applyAlignment="1" applyProtection="1">
      <alignment wrapText="1"/>
    </xf>
    <xf numFmtId="0" fontId="0" fillId="6" borderId="2" xfId="0" applyFill="1" applyBorder="1" applyProtection="1"/>
    <xf numFmtId="0" fontId="11" fillId="6" borderId="0" xfId="14" applyFont="1" applyFill="1" applyBorder="1" applyAlignment="1" applyProtection="1">
      <alignment horizontal="right"/>
    </xf>
    <xf numFmtId="0" fontId="0" fillId="6" borderId="5" xfId="0" applyFill="1" applyBorder="1" applyAlignment="1" applyProtection="1">
      <alignment horizontal="center" wrapText="1"/>
    </xf>
    <xf numFmtId="0" fontId="0" fillId="0" borderId="5" xfId="0" applyBorder="1" applyAlignment="1" applyProtection="1">
      <alignment horizontal="center" wrapText="1"/>
    </xf>
    <xf numFmtId="0" fontId="0" fillId="0" borderId="7" xfId="0" applyBorder="1" applyAlignment="1" applyProtection="1">
      <alignment horizontal="center"/>
    </xf>
    <xf numFmtId="3" fontId="0" fillId="0" borderId="6" xfId="0" applyNumberFormat="1" applyBorder="1" applyProtection="1"/>
    <xf numFmtId="3" fontId="0" fillId="0" borderId="7" xfId="0" applyNumberFormat="1" applyBorder="1" applyProtection="1"/>
    <xf numFmtId="3" fontId="2" fillId="6" borderId="6" xfId="14" applyNumberFormat="1" applyFont="1" applyFill="1" applyBorder="1" applyProtection="1"/>
    <xf numFmtId="3" fontId="2" fillId="4" borderId="7" xfId="6" applyNumberFormat="1" applyBorder="1" applyAlignment="1" applyProtection="1"/>
    <xf numFmtId="8" fontId="0" fillId="0" borderId="0" xfId="0" applyNumberFormat="1" applyProtection="1"/>
    <xf numFmtId="0" fontId="0" fillId="12" borderId="7" xfId="0" applyFill="1" applyBorder="1" applyProtection="1"/>
    <xf numFmtId="4" fontId="0" fillId="0" borderId="0" xfId="0" applyNumberFormat="1" applyProtection="1"/>
    <xf numFmtId="0" fontId="0" fillId="0" borderId="12" xfId="0" applyBorder="1" applyAlignment="1" applyProtection="1">
      <alignment horizontal="right"/>
    </xf>
    <xf numFmtId="0" fontId="0" fillId="0" borderId="14" xfId="0" applyBorder="1" applyAlignment="1" applyProtection="1">
      <alignment horizontal="right"/>
    </xf>
    <xf numFmtId="0" fontId="0" fillId="0" borderId="13" xfId="0" applyBorder="1" applyAlignment="1" applyProtection="1">
      <alignment horizontal="right"/>
    </xf>
    <xf numFmtId="3" fontId="2" fillId="11" borderId="7" xfId="6" applyNumberFormat="1" applyFill="1" applyBorder="1" applyAlignment="1" applyProtection="1"/>
    <xf numFmtId="0" fontId="0" fillId="0" borderId="6" xfId="0" applyBorder="1" applyProtection="1"/>
    <xf numFmtId="165" fontId="0" fillId="0" borderId="6" xfId="0" applyNumberFormat="1" applyBorder="1" applyProtection="1"/>
    <xf numFmtId="0" fontId="0" fillId="0" borderId="7" xfId="0" applyBorder="1" applyProtection="1"/>
    <xf numFmtId="165" fontId="0" fillId="0" borderId="7" xfId="0" applyNumberFormat="1" applyBorder="1" applyProtection="1"/>
    <xf numFmtId="0" fontId="0" fillId="0" borderId="8" xfId="0" applyBorder="1" applyProtection="1"/>
    <xf numFmtId="165" fontId="0" fillId="0" borderId="8" xfId="0" applyNumberFormat="1" applyBorder="1" applyProtection="1"/>
    <xf numFmtId="0" fontId="11" fillId="0" borderId="0" xfId="0" applyFont="1" applyAlignment="1" applyProtection="1">
      <alignment horizontal="center"/>
    </xf>
    <xf numFmtId="4" fontId="2" fillId="4" borderId="5" xfId="6" applyBorder="1" applyAlignment="1" applyProtection="1">
      <alignment horizontal="center"/>
    </xf>
    <xf numFmtId="169" fontId="2" fillId="4" borderId="5" xfId="6" applyNumberFormat="1" applyBorder="1" applyAlignment="1" applyProtection="1">
      <alignment horizontal="center"/>
    </xf>
    <xf numFmtId="170" fontId="0" fillId="0" borderId="5" xfId="0" applyNumberFormat="1" applyBorder="1" applyAlignment="1" applyProtection="1">
      <alignment horizontal="center"/>
    </xf>
    <xf numFmtId="0" fontId="2" fillId="6" borderId="6" xfId="14" applyFont="1" applyFill="1" applyBorder="1" applyProtection="1"/>
    <xf numFmtId="0" fontId="0" fillId="0" borderId="0" xfId="0" applyAlignment="1" applyProtection="1">
      <alignment horizontal="left" indent="1"/>
    </xf>
    <xf numFmtId="9" fontId="0" fillId="0" borderId="0" xfId="0" applyNumberFormat="1" applyProtection="1"/>
    <xf numFmtId="0" fontId="11" fillId="6" borderId="0" xfId="14" applyFont="1" applyFill="1" applyProtection="1"/>
    <xf numFmtId="165" fontId="2" fillId="6" borderId="5" xfId="14" applyNumberFormat="1" applyFont="1" applyFill="1" applyBorder="1" applyAlignment="1" applyProtection="1">
      <alignment horizontal="center"/>
    </xf>
    <xf numFmtId="173" fontId="2" fillId="4" borderId="5" xfId="6" applyNumberFormat="1" applyBorder="1" applyAlignment="1" applyProtection="1">
      <alignment horizontal="center"/>
    </xf>
    <xf numFmtId="4" fontId="2" fillId="6" borderId="5" xfId="14" applyNumberFormat="1" applyFont="1" applyFill="1" applyBorder="1" applyAlignment="1" applyProtection="1">
      <alignment horizontal="center"/>
    </xf>
    <xf numFmtId="170" fontId="0" fillId="0" borderId="0" xfId="0" applyNumberFormat="1" applyProtection="1"/>
    <xf numFmtId="0" fontId="15" fillId="6" borderId="0" xfId="14" applyFill="1" applyProtection="1"/>
    <xf numFmtId="0" fontId="13" fillId="6" borderId="0" xfId="11" quotePrefix="1" applyFill="1" applyProtection="1"/>
    <xf numFmtId="170" fontId="0" fillId="0" borderId="6" xfId="0" applyNumberFormat="1" applyBorder="1" applyProtection="1"/>
    <xf numFmtId="170" fontId="0" fillId="0" borderId="8" xfId="0" applyNumberFormat="1" applyBorder="1" applyProtection="1"/>
    <xf numFmtId="0" fontId="2" fillId="6" borderId="5" xfId="14" applyFont="1" applyFill="1" applyBorder="1" applyAlignment="1" applyProtection="1">
      <alignment horizontal="center" wrapText="1"/>
    </xf>
    <xf numFmtId="0" fontId="0" fillId="0" borderId="6" xfId="0" applyBorder="1" applyAlignment="1" applyProtection="1">
      <alignment horizontal="center" wrapText="1"/>
    </xf>
    <xf numFmtId="0" fontId="2" fillId="6" borderId="6" xfId="14" applyFont="1" applyFill="1" applyBorder="1" applyAlignment="1" applyProtection="1">
      <alignment horizontal="center" wrapText="1"/>
    </xf>
    <xf numFmtId="3" fontId="2" fillId="4" borderId="15" xfId="6" applyNumberFormat="1" applyBorder="1" applyAlignment="1" applyProtection="1">
      <alignment horizontal="center"/>
    </xf>
    <xf numFmtId="3" fontId="2" fillId="4" borderId="6" xfId="6" applyNumberFormat="1" applyBorder="1" applyAlignment="1" applyProtection="1">
      <alignment horizontal="left" wrapText="1"/>
    </xf>
    <xf numFmtId="170" fontId="2" fillId="4" borderId="11" xfId="6" applyNumberFormat="1" applyBorder="1" applyAlignment="1" applyProtection="1">
      <alignment horizontal="center"/>
    </xf>
    <xf numFmtId="0" fontId="2" fillId="10" borderId="7" xfId="13" applyNumberFormat="1" applyFill="1" applyBorder="1" applyAlignment="1" applyProtection="1">
      <alignment horizontal="center"/>
    </xf>
    <xf numFmtId="4" fontId="2" fillId="4" borderId="6" xfId="6" applyBorder="1" applyAlignment="1" applyProtection="1">
      <alignment horizontal="center" wrapText="1"/>
    </xf>
    <xf numFmtId="3" fontId="2" fillId="4" borderId="6" xfId="6" applyNumberFormat="1" applyBorder="1" applyAlignment="1" applyProtection="1">
      <alignment horizontal="center" wrapText="1"/>
    </xf>
    <xf numFmtId="165" fontId="2" fillId="0" borderId="7" xfId="18" applyNumberFormat="1" applyFont="1" applyBorder="1" applyAlignment="1" applyProtection="1">
      <alignment horizontal="center"/>
    </xf>
    <xf numFmtId="4" fontId="2" fillId="4" borderId="3" xfId="6" applyBorder="1" applyAlignment="1" applyProtection="1">
      <alignment horizontal="center"/>
    </xf>
    <xf numFmtId="3" fontId="2" fillId="10" borderId="11" xfId="6" applyNumberFormat="1" applyFill="1" applyBorder="1" applyAlignment="1" applyProtection="1">
      <alignment horizontal="center"/>
    </xf>
    <xf numFmtId="3" fontId="0" fillId="0" borderId="7" xfId="0" applyNumberFormat="1" applyBorder="1" applyAlignment="1" applyProtection="1">
      <alignment horizontal="center"/>
    </xf>
    <xf numFmtId="3" fontId="2" fillId="4" borderId="17" xfId="6" applyNumberFormat="1" applyBorder="1" applyAlignment="1" applyProtection="1">
      <alignment horizontal="center"/>
    </xf>
    <xf numFmtId="3" fontId="2" fillId="4" borderId="7" xfId="6" applyNumberFormat="1" applyBorder="1" applyAlignment="1" applyProtection="1">
      <alignment horizontal="left" wrapText="1"/>
    </xf>
    <xf numFmtId="4" fontId="2" fillId="4" borderId="7" xfId="6" applyBorder="1" applyAlignment="1" applyProtection="1">
      <alignment horizontal="center" wrapText="1"/>
    </xf>
    <xf numFmtId="3" fontId="2" fillId="4" borderId="7" xfId="6" applyNumberFormat="1" applyBorder="1" applyAlignment="1" applyProtection="1">
      <alignment horizontal="center" wrapText="1"/>
    </xf>
    <xf numFmtId="4" fontId="0" fillId="4" borderId="3" xfId="6" applyFont="1" applyBorder="1" applyAlignment="1" applyProtection="1">
      <alignment horizontal="center"/>
    </xf>
    <xf numFmtId="3" fontId="2" fillId="4" borderId="0" xfId="6" applyNumberFormat="1" applyBorder="1" applyAlignment="1" applyProtection="1">
      <alignment horizontal="center"/>
    </xf>
    <xf numFmtId="169" fontId="2" fillId="4" borderId="11" xfId="6" applyNumberFormat="1" applyBorder="1" applyAlignment="1" applyProtection="1">
      <alignment horizontal="center"/>
    </xf>
    <xf numFmtId="3" fontId="2" fillId="4" borderId="18" xfId="6" applyNumberFormat="1" applyBorder="1" applyAlignment="1" applyProtection="1">
      <alignment horizontal="center"/>
    </xf>
    <xf numFmtId="3" fontId="20" fillId="11" borderId="25" xfId="6" applyNumberFormat="1" applyFont="1" applyFill="1" applyBorder="1" applyAlignment="1" applyProtection="1">
      <alignment horizontal="left" wrapText="1"/>
    </xf>
    <xf numFmtId="169" fontId="2" fillId="4" borderId="19" xfId="6" applyNumberFormat="1" applyBorder="1" applyAlignment="1" applyProtection="1">
      <alignment horizontal="center"/>
    </xf>
    <xf numFmtId="0" fontId="2" fillId="10" borderId="8" xfId="13" applyNumberFormat="1" applyFill="1" applyBorder="1" applyAlignment="1" applyProtection="1">
      <alignment horizontal="center"/>
    </xf>
    <xf numFmtId="4" fontId="20" fillId="11" borderId="8" xfId="6" applyFont="1" applyFill="1" applyBorder="1" applyAlignment="1" applyProtection="1">
      <alignment horizontal="center" wrapText="1"/>
    </xf>
    <xf numFmtId="165" fontId="2" fillId="0" borderId="8" xfId="18" applyNumberFormat="1" applyFont="1" applyBorder="1" applyAlignment="1" applyProtection="1">
      <alignment horizontal="center"/>
    </xf>
    <xf numFmtId="3" fontId="20" fillId="11" borderId="8" xfId="6" applyNumberFormat="1" applyFont="1" applyFill="1" applyBorder="1" applyAlignment="1" applyProtection="1">
      <alignment horizontal="center" wrapText="1"/>
    </xf>
    <xf numFmtId="4" fontId="2" fillId="4" borderId="18" xfId="6" applyBorder="1" applyAlignment="1" applyProtection="1">
      <alignment horizontal="center"/>
    </xf>
    <xf numFmtId="4" fontId="2" fillId="10" borderId="19" xfId="6" applyFill="1" applyBorder="1" applyAlignment="1" applyProtection="1">
      <alignment horizontal="center"/>
    </xf>
    <xf numFmtId="3" fontId="0" fillId="0" borderId="8" xfId="0" applyNumberFormat="1" applyBorder="1" applyAlignment="1" applyProtection="1">
      <alignment horizontal="center"/>
    </xf>
    <xf numFmtId="3" fontId="11" fillId="0" borderId="5" xfId="0" applyNumberFormat="1" applyFont="1" applyBorder="1" applyAlignment="1" applyProtection="1">
      <alignment horizontal="center"/>
    </xf>
    <xf numFmtId="0" fontId="0" fillId="0" borderId="16" xfId="0" applyBorder="1" applyAlignment="1" applyProtection="1">
      <alignment horizontal="center" wrapText="1"/>
    </xf>
    <xf numFmtId="3" fontId="0" fillId="4" borderId="6" xfId="6" applyNumberFormat="1" applyFont="1" applyBorder="1" applyAlignment="1" applyProtection="1">
      <alignment horizontal="left" wrapText="1"/>
    </xf>
    <xf numFmtId="171" fontId="2" fillId="10" borderId="6" xfId="13" applyNumberFormat="1" applyFill="1" applyBorder="1" applyAlignment="1" applyProtection="1">
      <alignment horizontal="center"/>
    </xf>
    <xf numFmtId="4" fontId="0" fillId="4" borderId="6" xfId="6" applyFont="1" applyBorder="1" applyAlignment="1" applyProtection="1">
      <alignment horizontal="center" wrapText="1"/>
    </xf>
    <xf numFmtId="3" fontId="2" fillId="4" borderId="16" xfId="6" applyNumberFormat="1" applyBorder="1" applyAlignment="1" applyProtection="1">
      <alignment horizontal="center"/>
    </xf>
    <xf numFmtId="165" fontId="2" fillId="0" borderId="11" xfId="18" applyNumberFormat="1" applyFont="1" applyBorder="1" applyAlignment="1" applyProtection="1">
      <alignment horizontal="center"/>
    </xf>
    <xf numFmtId="3" fontId="0" fillId="4" borderId="6" xfId="6" applyNumberFormat="1" applyFont="1" applyBorder="1" applyAlignment="1" applyProtection="1">
      <alignment horizontal="center" wrapText="1"/>
    </xf>
    <xf numFmtId="3" fontId="0" fillId="4" borderId="15" xfId="6" applyNumberFormat="1" applyFont="1" applyBorder="1" applyAlignment="1" applyProtection="1">
      <alignment horizontal="center" wrapText="1"/>
    </xf>
    <xf numFmtId="3" fontId="0" fillId="0" borderId="6" xfId="0" applyNumberFormat="1" applyBorder="1" applyAlignment="1" applyProtection="1">
      <alignment horizontal="center"/>
    </xf>
    <xf numFmtId="171" fontId="2" fillId="10" borderId="7" xfId="13" applyNumberFormat="1" applyFill="1" applyBorder="1" applyAlignment="1" applyProtection="1">
      <alignment horizontal="center"/>
    </xf>
    <xf numFmtId="4" fontId="0" fillId="4" borderId="7" xfId="6" applyFont="1" applyBorder="1" applyAlignment="1" applyProtection="1">
      <alignment horizontal="center" wrapText="1"/>
    </xf>
    <xf numFmtId="3" fontId="2" fillId="4" borderId="11" xfId="6" applyNumberFormat="1" applyBorder="1" applyAlignment="1" applyProtection="1">
      <alignment horizontal="center"/>
    </xf>
    <xf numFmtId="3" fontId="0" fillId="4" borderId="17" xfId="6" applyNumberFormat="1" applyFont="1" applyBorder="1" applyAlignment="1" applyProtection="1">
      <alignment horizontal="center" wrapText="1"/>
    </xf>
    <xf numFmtId="166" fontId="2" fillId="4" borderId="17" xfId="6" applyNumberFormat="1" applyBorder="1" applyAlignment="1" applyProtection="1">
      <alignment horizontal="center"/>
    </xf>
    <xf numFmtId="4" fontId="0" fillId="4" borderId="17" xfId="6" applyFont="1" applyBorder="1" applyAlignment="1" applyProtection="1">
      <alignment horizontal="center" wrapText="1"/>
    </xf>
    <xf numFmtId="4" fontId="20" fillId="4" borderId="8" xfId="6" applyFont="1" applyBorder="1" applyAlignment="1" applyProtection="1">
      <alignment horizontal="left" wrapText="1"/>
    </xf>
    <xf numFmtId="170" fontId="2" fillId="4" borderId="19" xfId="6" applyNumberFormat="1" applyBorder="1" applyAlignment="1" applyProtection="1">
      <alignment horizontal="center"/>
    </xf>
    <xf numFmtId="4" fontId="2" fillId="4" borderId="8" xfId="6" applyBorder="1" applyAlignment="1" applyProtection="1">
      <alignment wrapText="1"/>
    </xf>
    <xf numFmtId="3" fontId="2" fillId="4" borderId="19" xfId="6" applyNumberFormat="1" applyBorder="1" applyAlignment="1" applyProtection="1"/>
    <xf numFmtId="165" fontId="2" fillId="0" borderId="19" xfId="18" applyNumberFormat="1" applyFont="1" applyBorder="1" applyAlignment="1" applyProtection="1">
      <alignment horizontal="center"/>
    </xf>
    <xf numFmtId="4" fontId="2" fillId="4" borderId="18" xfId="6" applyBorder="1" applyAlignment="1" applyProtection="1">
      <alignment wrapText="1"/>
    </xf>
    <xf numFmtId="0" fontId="20" fillId="0" borderId="0" xfId="0" applyFont="1" applyAlignment="1" applyProtection="1">
      <alignment wrapText="1"/>
    </xf>
    <xf numFmtId="177" fontId="0" fillId="0" borderId="0" xfId="0" applyNumberFormat="1" applyProtection="1"/>
    <xf numFmtId="173" fontId="2" fillId="10" borderId="5" xfId="6" applyNumberFormat="1" applyFill="1" applyBorder="1" applyAlignment="1" applyProtection="1"/>
    <xf numFmtId="0" fontId="2" fillId="6" borderId="0" xfId="14" applyFont="1" applyFill="1" applyAlignment="1" applyProtection="1">
      <alignment horizontal="left" indent="1"/>
    </xf>
    <xf numFmtId="0" fontId="11" fillId="0" borderId="0" xfId="0" applyFont="1" applyAlignment="1" applyProtection="1">
      <alignment horizontal="centerContinuous" wrapText="1"/>
    </xf>
    <xf numFmtId="4" fontId="2" fillId="4" borderId="5" xfId="6" applyBorder="1" applyAlignment="1" applyProtection="1">
      <alignment horizontal="center" wrapText="1"/>
    </xf>
    <xf numFmtId="173" fontId="2" fillId="4" borderId="5" xfId="6" applyNumberFormat="1" applyBorder="1" applyAlignment="1" applyProtection="1">
      <alignment horizontal="center" wrapText="1"/>
    </xf>
    <xf numFmtId="3" fontId="2" fillId="4" borderId="5" xfId="6" applyNumberFormat="1" applyBorder="1" applyAlignment="1" applyProtection="1">
      <alignment horizontal="center" wrapText="1"/>
    </xf>
    <xf numFmtId="0" fontId="2" fillId="6" borderId="0" xfId="14" applyFont="1" applyFill="1" applyAlignment="1" applyProtection="1">
      <alignment horizontal="center" wrapText="1"/>
    </xf>
    <xf numFmtId="0" fontId="0" fillId="0" borderId="0" xfId="0" applyAlignment="1" applyProtection="1">
      <alignment horizontal="center" wrapText="1"/>
    </xf>
    <xf numFmtId="0" fontId="0" fillId="6" borderId="0" xfId="14" applyFont="1" applyFill="1" applyAlignment="1" applyProtection="1">
      <alignment horizontal="center" wrapText="1"/>
    </xf>
    <xf numFmtId="0" fontId="11" fillId="0" borderId="0" xfId="0" applyFont="1" applyAlignment="1" applyProtection="1">
      <alignment horizontal="left"/>
    </xf>
    <xf numFmtId="0" fontId="0" fillId="0" borderId="0" xfId="0" applyAlignment="1" applyProtection="1">
      <alignment horizontal="right" wrapText="1"/>
    </xf>
    <xf numFmtId="3" fontId="2" fillId="4" borderId="17" xfId="6" applyNumberFormat="1" applyBorder="1" applyAlignment="1" applyProtection="1"/>
    <xf numFmtId="3" fontId="2" fillId="4" borderId="6" xfId="6" applyNumberFormat="1" applyBorder="1" applyAlignment="1" applyProtection="1"/>
    <xf numFmtId="4" fontId="0" fillId="0" borderId="11" xfId="0" applyNumberFormat="1" applyBorder="1" applyProtection="1"/>
    <xf numFmtId="4" fontId="2" fillId="4" borderId="6" xfId="6" applyBorder="1" applyAlignment="1" applyProtection="1"/>
    <xf numFmtId="3" fontId="0" fillId="4" borderId="7" xfId="6" applyNumberFormat="1" applyFont="1" applyBorder="1" applyAlignment="1" applyProtection="1"/>
    <xf numFmtId="4" fontId="2" fillId="4" borderId="7" xfId="6" applyBorder="1" applyAlignment="1" applyProtection="1"/>
    <xf numFmtId="0" fontId="0" fillId="0" borderId="0" xfId="0" applyAlignment="1" applyProtection="1">
      <alignment horizontal="left" indent="4"/>
    </xf>
    <xf numFmtId="4" fontId="0" fillId="4" borderId="7" xfId="6" applyFont="1" applyBorder="1" applyAlignment="1" applyProtection="1"/>
    <xf numFmtId="4" fontId="2" fillId="11" borderId="8" xfId="6" applyFill="1" applyBorder="1" applyAlignment="1" applyProtection="1"/>
    <xf numFmtId="4" fontId="2" fillId="4" borderId="8" xfId="6" applyBorder="1" applyAlignment="1" applyProtection="1"/>
    <xf numFmtId="3" fontId="0" fillId="0" borderId="11" xfId="0" applyNumberFormat="1" applyBorder="1" applyProtection="1"/>
    <xf numFmtId="170" fontId="0" fillId="0" borderId="5" xfId="0" applyNumberFormat="1" applyBorder="1" applyProtection="1"/>
    <xf numFmtId="3" fontId="2" fillId="4" borderId="6" xfId="6" applyNumberFormat="1" applyBorder="1" applyAlignment="1" applyProtection="1">
      <alignment horizontal="center"/>
    </xf>
    <xf numFmtId="1" fontId="2" fillId="4" borderId="7" xfId="6" applyNumberFormat="1" applyBorder="1" applyAlignment="1" applyProtection="1">
      <alignment horizontal="left" wrapText="1" indent="1"/>
    </xf>
    <xf numFmtId="170" fontId="2" fillId="4" borderId="6" xfId="6" applyNumberFormat="1" applyBorder="1" applyAlignment="1" applyProtection="1">
      <alignment horizontal="center"/>
    </xf>
    <xf numFmtId="0" fontId="2" fillId="10" borderId="6" xfId="13" applyNumberFormat="1" applyFill="1" applyBorder="1" applyAlignment="1" applyProtection="1">
      <alignment horizontal="center"/>
    </xf>
    <xf numFmtId="165" fontId="2" fillId="0" borderId="16" xfId="18" applyNumberFormat="1" applyFont="1" applyBorder="1" applyAlignment="1" applyProtection="1">
      <alignment horizontal="center"/>
    </xf>
    <xf numFmtId="3" fontId="2" fillId="10" borderId="7" xfId="6" applyNumberFormat="1" applyFill="1" applyBorder="1" applyAlignment="1" applyProtection="1">
      <alignment horizontal="center"/>
    </xf>
    <xf numFmtId="3" fontId="0" fillId="0" borderId="16" xfId="0" applyNumberFormat="1" applyBorder="1" applyAlignment="1" applyProtection="1">
      <alignment horizontal="center"/>
    </xf>
    <xf numFmtId="3" fontId="2" fillId="4" borderId="7" xfId="6" applyNumberFormat="1" applyBorder="1" applyAlignment="1" applyProtection="1">
      <alignment horizontal="center"/>
    </xf>
    <xf numFmtId="170" fontId="2" fillId="4" borderId="7" xfId="6" applyNumberFormat="1" applyBorder="1" applyAlignment="1" applyProtection="1">
      <alignment horizontal="center"/>
    </xf>
    <xf numFmtId="3" fontId="0" fillId="10" borderId="7" xfId="6" applyNumberFormat="1" applyFont="1" applyFill="1" applyBorder="1" applyAlignment="1" applyProtection="1">
      <alignment horizontal="center"/>
    </xf>
    <xf numFmtId="3" fontId="0" fillId="0" borderId="11" xfId="0" applyNumberFormat="1" applyBorder="1" applyAlignment="1" applyProtection="1">
      <alignment horizontal="center"/>
    </xf>
    <xf numFmtId="168" fontId="0" fillId="0" borderId="0" xfId="0" applyNumberFormat="1" applyProtection="1"/>
    <xf numFmtId="3" fontId="2" fillId="4" borderId="8" xfId="6" applyNumberFormat="1" applyBorder="1" applyAlignment="1" applyProtection="1">
      <alignment horizontal="center"/>
    </xf>
    <xf numFmtId="169" fontId="2" fillId="4" borderId="8" xfId="6" applyNumberFormat="1" applyBorder="1" applyAlignment="1" applyProtection="1">
      <alignment horizontal="center"/>
    </xf>
    <xf numFmtId="4" fontId="2" fillId="4" borderId="19" xfId="6" applyBorder="1" applyAlignment="1" applyProtection="1"/>
    <xf numFmtId="4" fontId="2" fillId="4" borderId="18" xfId="6" applyBorder="1" applyAlignment="1" applyProtection="1"/>
    <xf numFmtId="4" fontId="2" fillId="10" borderId="8" xfId="6" applyFill="1" applyBorder="1" applyAlignment="1" applyProtection="1">
      <alignment horizontal="center"/>
    </xf>
    <xf numFmtId="3" fontId="0" fillId="0" borderId="19" xfId="0" applyNumberFormat="1" applyBorder="1" applyAlignment="1" applyProtection="1">
      <alignment horizontal="center"/>
    </xf>
    <xf numFmtId="0" fontId="12" fillId="0" borderId="0" xfId="0" quotePrefix="1" applyFont="1" applyProtection="1"/>
    <xf numFmtId="0" fontId="13" fillId="0" borderId="0" xfId="11" applyFill="1" applyBorder="1" applyAlignment="1" applyProtection="1">
      <alignment horizontal="left" vertical="top"/>
    </xf>
    <xf numFmtId="0" fontId="24" fillId="6" borderId="0" xfId="14" quotePrefix="1" applyFont="1" applyFill="1" applyProtection="1"/>
    <xf numFmtId="0" fontId="0" fillId="6" borderId="20" xfId="0" applyFill="1" applyBorder="1" applyAlignment="1" applyProtection="1">
      <alignment horizontal="centerContinuous"/>
    </xf>
    <xf numFmtId="0" fontId="0" fillId="6" borderId="10" xfId="0" applyFill="1" applyBorder="1" applyAlignment="1" applyProtection="1">
      <alignment horizontal="centerContinuous"/>
    </xf>
    <xf numFmtId="4" fontId="0" fillId="6" borderId="5" xfId="0" applyNumberFormat="1" applyFill="1" applyBorder="1" applyAlignment="1" applyProtection="1">
      <alignment horizontal="center"/>
    </xf>
    <xf numFmtId="0" fontId="0" fillId="6" borderId="5" xfId="0" applyFill="1" applyBorder="1" applyAlignment="1" applyProtection="1">
      <alignment horizontal="center"/>
    </xf>
    <xf numFmtId="0" fontId="20" fillId="0" borderId="0" xfId="0" applyFont="1" applyAlignment="1" applyProtection="1">
      <alignment horizontal="left"/>
    </xf>
    <xf numFmtId="0" fontId="20" fillId="0" borderId="0" xfId="0" applyFont="1" applyAlignment="1" applyProtection="1">
      <alignment horizontal="left" indent="2"/>
    </xf>
    <xf numFmtId="0" fontId="0" fillId="7" borderId="0" xfId="0" applyFill="1" applyProtection="1"/>
    <xf numFmtId="0" fontId="26" fillId="0" borderId="0" xfId="0" applyFont="1" applyProtection="1"/>
    <xf numFmtId="0" fontId="25" fillId="0" borderId="0" xfId="0" applyFont="1" applyProtection="1"/>
    <xf numFmtId="0" fontId="25" fillId="0" borderId="22" xfId="0" applyFont="1" applyBorder="1" applyProtection="1"/>
    <xf numFmtId="0" fontId="26" fillId="0" borderId="22" xfId="0" applyFont="1" applyBorder="1" applyProtection="1"/>
    <xf numFmtId="0" fontId="26" fillId="0" borderId="22" xfId="0" applyFont="1" applyBorder="1" applyAlignment="1" applyProtection="1">
      <alignment horizontal="center" wrapText="1"/>
    </xf>
    <xf numFmtId="4" fontId="26" fillId="0" borderId="0" xfId="0" applyNumberFormat="1" applyFont="1" applyProtection="1"/>
    <xf numFmtId="172" fontId="26" fillId="0" borderId="0" xfId="0" applyNumberFormat="1" applyFont="1" applyProtection="1"/>
    <xf numFmtId="6" fontId="26" fillId="0" borderId="0" xfId="0" applyNumberFormat="1" applyFont="1" applyProtection="1"/>
    <xf numFmtId="0" fontId="9" fillId="0" borderId="0" xfId="0" applyFont="1" applyAlignment="1" applyProtection="1">
      <alignment horizontal="left" vertical="top"/>
    </xf>
    <xf numFmtId="0" fontId="0" fillId="0" borderId="0" xfId="0" applyAlignment="1" applyProtection="1">
      <alignment horizontal="left" vertical="top"/>
    </xf>
    <xf numFmtId="0" fontId="0" fillId="0" borderId="4" xfId="0" applyBorder="1" applyProtection="1"/>
    <xf numFmtId="0" fontId="13" fillId="0" borderId="4" xfId="11" applyBorder="1" applyAlignment="1" applyProtection="1"/>
    <xf numFmtId="0" fontId="14" fillId="8" borderId="0" xfId="0" applyFont="1" applyFill="1" applyProtection="1"/>
    <xf numFmtId="0" fontId="0" fillId="8" borderId="0" xfId="0" applyFill="1" applyProtection="1"/>
    <xf numFmtId="0" fontId="0" fillId="0" borderId="0" xfId="0" applyAlignment="1" applyProtection="1">
      <alignment horizontal="center" vertical="top"/>
    </xf>
    <xf numFmtId="0" fontId="9" fillId="8" borderId="0" xfId="0" applyFont="1" applyFill="1" applyProtection="1"/>
    <xf numFmtId="0" fontId="0" fillId="0" borderId="0" xfId="0" applyAlignment="1" applyProtection="1">
      <alignment horizontal="left" wrapText="1"/>
    </xf>
    <xf numFmtId="0" fontId="0" fillId="0" borderId="0" xfId="0" applyAlignment="1" applyProtection="1">
      <alignment horizontal="right" vertical="center"/>
    </xf>
    <xf numFmtId="0" fontId="0" fillId="0" borderId="0" xfId="0" applyAlignment="1" applyProtection="1">
      <alignment vertical="top"/>
    </xf>
    <xf numFmtId="0" fontId="0" fillId="0" borderId="0" xfId="0" applyAlignment="1" applyProtection="1">
      <alignment horizontal="right" vertical="top"/>
    </xf>
    <xf numFmtId="0" fontId="11" fillId="0" borderId="0" xfId="0" applyFont="1" applyAlignment="1" applyProtection="1">
      <alignment horizontal="left" vertical="top"/>
    </xf>
    <xf numFmtId="0" fontId="0" fillId="0" borderId="0" xfId="0" applyAlignment="1" applyProtection="1">
      <alignment horizontal="left"/>
    </xf>
    <xf numFmtId="4" fontId="0" fillId="4" borderId="0" xfId="6" applyFont="1" applyBorder="1" applyAlignment="1" applyProtection="1">
      <alignment horizontal="left"/>
    </xf>
    <xf numFmtId="166" fontId="2" fillId="3" borderId="0" xfId="16" applyBorder="1" applyAlignment="1" applyProtection="1"/>
    <xf numFmtId="166" fontId="0" fillId="3" borderId="0" xfId="16" applyFont="1" applyBorder="1" applyAlignment="1" applyProtection="1"/>
    <xf numFmtId="0" fontId="0" fillId="12" borderId="0" xfId="0" applyFill="1" applyProtection="1"/>
    <xf numFmtId="0" fontId="0" fillId="12" borderId="0" xfId="0" applyFill="1" applyAlignment="1" applyProtection="1">
      <alignment horizontal="left"/>
    </xf>
    <xf numFmtId="167" fontId="5" fillId="0" borderId="0" xfId="1" applyNumberFormat="1" applyFont="1" applyFill="1" applyBorder="1" applyAlignment="1" applyProtection="1">
      <alignment horizontal="left"/>
    </xf>
    <xf numFmtId="167" fontId="6" fillId="5" borderId="0" xfId="9" applyNumberFormat="1" applyBorder="1" applyAlignment="1" applyProtection="1">
      <alignment horizontal="left"/>
    </xf>
    <xf numFmtId="167" fontId="3" fillId="0" borderId="0" xfId="4" applyNumberFormat="1" applyFill="1" applyBorder="1" applyAlignment="1" applyProtection="1">
      <alignment horizontal="left"/>
    </xf>
    <xf numFmtId="167" fontId="3" fillId="0" borderId="0" xfId="1" applyNumberFormat="1" applyFont="1" applyFill="1" applyBorder="1" applyAlignment="1" applyProtection="1">
      <alignment horizontal="left"/>
    </xf>
    <xf numFmtId="167" fontId="4" fillId="0" borderId="0" xfId="5" applyNumberFormat="1" applyFill="1" applyBorder="1" applyAlignment="1" applyProtection="1">
      <alignment horizontal="left"/>
    </xf>
    <xf numFmtId="167" fontId="4" fillId="0" borderId="0" xfId="1" applyNumberFormat="1" applyFont="1" applyFill="1" applyBorder="1" applyAlignment="1" applyProtection="1">
      <alignment horizontal="left"/>
    </xf>
    <xf numFmtId="167" fontId="0" fillId="0" borderId="9" xfId="1" applyNumberFormat="1" applyFont="1" applyBorder="1" applyAlignment="1" applyProtection="1">
      <alignment horizontal="left"/>
    </xf>
    <xf numFmtId="167" fontId="0" fillId="0" borderId="0" xfId="1" applyNumberFormat="1" applyFont="1" applyBorder="1" applyAlignment="1" applyProtection="1">
      <alignment horizontal="left"/>
    </xf>
    <xf numFmtId="0" fontId="0" fillId="0" borderId="0" xfId="0" applyAlignment="1" applyProtection="1">
      <alignment wrapText="1"/>
    </xf>
    <xf numFmtId="0" fontId="0" fillId="0" borderId="0" xfId="0" applyAlignment="1" applyProtection="1"/>
    <xf numFmtId="4" fontId="2" fillId="4" borderId="20" xfId="6" applyBorder="1" applyAlignment="1" applyProtection="1"/>
    <xf numFmtId="4" fontId="11" fillId="4" borderId="20" xfId="6" applyFont="1" applyBorder="1" applyAlignment="1" applyProtection="1">
      <alignment horizontal="center" wrapText="1"/>
    </xf>
    <xf numFmtId="0" fontId="0" fillId="0" borderId="10" xfId="0" applyBorder="1" applyAlignment="1" applyProtection="1">
      <alignment horizontal="center" wrapText="1"/>
    </xf>
  </cellXfs>
  <cellStyles count="28">
    <cellStyle name="Change in Formula" xfId="3" xr:uid="{00000000-0005-0000-0000-000000000000}"/>
    <cellStyle name="Comma" xfId="1" builtinId="3" customBuiltin="1"/>
    <cellStyle name="Comma [0]" xfId="2" builtinId="6" customBuiltin="1"/>
    <cellStyle name="Currency" xfId="20" builtinId="4"/>
    <cellStyle name="Error checks" xfId="4" xr:uid="{00000000-0005-0000-0000-000003000000}"/>
    <cellStyle name="Error Warning" xfId="5" xr:uid="{00000000-0005-0000-0000-000004000000}"/>
    <cellStyle name="Hyperlink" xfId="11" builtinId="8"/>
    <cellStyle name="Info/Default #" xfId="16" xr:uid="{00000000-0005-0000-0000-000006000000}"/>
    <cellStyle name="Info/default %" xfId="13" xr:uid="{00000000-0005-0000-0000-000007000000}"/>
    <cellStyle name="Info/import #" xfId="12" xr:uid="{00000000-0005-0000-0000-000008000000}"/>
    <cellStyle name="Info/import %" xfId="15" xr:uid="{00000000-0005-0000-0000-000009000000}"/>
    <cellStyle name="Input #" xfId="6" xr:uid="{00000000-0005-0000-0000-00000A000000}"/>
    <cellStyle name="Input %" xfId="7" xr:uid="{00000000-0005-0000-0000-00000B000000}"/>
    <cellStyle name="Input % 2" xfId="17" xr:uid="{00000000-0005-0000-0000-00000C000000}"/>
    <cellStyle name="Input2" xfId="8" xr:uid="{00000000-0005-0000-0000-00000D000000}"/>
    <cellStyle name="Key Outputs" xfId="9" xr:uid="{00000000-0005-0000-0000-00000E000000}"/>
    <cellStyle name="Links from other files (green) style" xfId="10" xr:uid="{00000000-0005-0000-0000-00000F000000}"/>
    <cellStyle name="Normal" xfId="0" builtinId="0" customBuiltin="1"/>
    <cellStyle name="Normal 3 2" xfId="25" xr:uid="{EC59556E-3DAC-4A92-905B-3097EA3AED99}"/>
    <cellStyle name="Normal 4" xfId="27" xr:uid="{A455A728-C175-4B3B-95DC-81D2D3EA5699}"/>
    <cellStyle name="Normal 8" xfId="24" xr:uid="{4B6E7B82-3C44-4DC6-81BC-E91D1C6EE2EC}"/>
    <cellStyle name="Percent" xfId="21" builtinId="5"/>
    <cellStyle name="Percent 2" xfId="18" xr:uid="{00000000-0005-0000-0000-000011000000}"/>
    <cellStyle name="Percent 2 2" xfId="19" xr:uid="{00000000-0005-0000-0000-000012000000}"/>
    <cellStyle name="QA" xfId="14" xr:uid="{00000000-0005-0000-0000-000013000000}"/>
    <cellStyle name="SAPDataCell" xfId="26" xr:uid="{6CBEB6FF-5E47-4441-BD4D-0E424BD43F43}"/>
    <cellStyle name="SAPDimensionCell" xfId="22" xr:uid="{5057BC6B-7E57-4F7C-90E8-869D6073FD0E}"/>
    <cellStyle name="SAPMemberCell" xfId="23" xr:uid="{1FBF5A05-F3F1-4042-A9A9-00C32D8357A8}"/>
  </cellStyles>
  <dxfs count="16">
    <dxf>
      <font>
        <b/>
        <i val="0"/>
        <color rgb="FFFF0000"/>
      </font>
    </dxf>
    <dxf>
      <font>
        <b/>
        <i val="0"/>
        <color rgb="FFFF0000"/>
      </font>
    </dxf>
    <dxf>
      <fill>
        <patternFill>
          <bgColor rgb="FFDDDDDD"/>
        </patternFill>
      </fill>
    </dxf>
    <dxf>
      <fill>
        <patternFill>
          <bgColor rgb="FFDDDDDD"/>
        </patternFill>
      </fill>
    </dxf>
    <dxf>
      <font>
        <color rgb="FF9C0006"/>
      </font>
      <fill>
        <patternFill>
          <bgColor rgb="FFFFC7CE"/>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DDDDDD"/>
        </patternFill>
      </fill>
    </dxf>
    <dxf>
      <font>
        <b/>
        <i val="0"/>
        <color rgb="FFFF0000"/>
      </font>
    </dxf>
    <dxf>
      <fill>
        <patternFill>
          <bgColor rgb="FFDDDDDD"/>
        </patternFill>
      </fill>
    </dxf>
    <dxf>
      <fill>
        <patternFill>
          <bgColor rgb="FFDDDDDD"/>
        </patternFill>
      </fill>
    </dxf>
    <dxf>
      <fill>
        <patternFill>
          <bgColor rgb="FFDDDDDD"/>
        </patternFill>
      </fill>
    </dxf>
    <dxf>
      <fill>
        <patternFill>
          <bgColor rgb="FFDDDDDD"/>
        </patternFill>
      </fill>
    </dxf>
  </dxfs>
  <tableStyles count="0" defaultTableStyle="TableStyleMedium2" defaultPivotStyle="PivotStyleLight16"/>
  <colors>
    <mruColors>
      <color rgb="FFFF9933"/>
      <color rgb="FFDDDDDD"/>
      <color rgb="FFFFFFCC"/>
      <color rgb="FF8FB8FB"/>
      <color rgb="FF6EA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6</xdr:col>
      <xdr:colOff>476249</xdr:colOff>
      <xdr:row>11</xdr:row>
      <xdr:rowOff>66675</xdr:rowOff>
    </xdr:from>
    <xdr:ext cx="4324351" cy="552450"/>
    <mc:AlternateContent xmlns:mc="http://schemas.openxmlformats.org/markup-compatibility/2006" xmlns:a14="http://schemas.microsoft.com/office/drawing/2010/main">
      <mc:Choice Requires="a14">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3324224" y="1543050"/>
              <a:ext cx="4324351"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14:m>
                <m:oMath xmlns:m="http://schemas.openxmlformats.org/officeDocument/2006/math">
                  <m:sSub>
                    <m:sSubPr>
                      <m:ctrlPr>
                        <a:rPr lang="en-AU" sz="1400" b="0" i="1">
                          <a:latin typeface="Cambria Math" panose="02040503050406030204" pitchFamily="18" charset="0"/>
                        </a:rPr>
                      </m:ctrlPr>
                    </m:sSubPr>
                    <m:e>
                      <m:r>
                        <a:rPr lang="en-AU" sz="1400" b="0" i="1">
                          <a:latin typeface="Cambria Math"/>
                        </a:rPr>
                        <m:t>𝑀𝑃</m:t>
                      </m:r>
                    </m:e>
                    <m:sub>
                      <m:r>
                        <a:rPr lang="en-AU" sz="1400" b="0" i="1">
                          <a:latin typeface="Cambria Math"/>
                        </a:rPr>
                        <m:t>𝑆𝑐h</m:t>
                      </m:r>
                      <m:r>
                        <a:rPr lang="en-AU" sz="1400" b="0" i="1">
                          <a:latin typeface="Cambria Math"/>
                        </a:rPr>
                        <m:t>1</m:t>
                      </m:r>
                    </m:sub>
                  </m:sSub>
                  <m:r>
                    <a:rPr lang="en-AU" sz="1400" b="0" i="1">
                      <a:latin typeface="Cambria Math"/>
                    </a:rPr>
                    <m:t>=</m:t>
                  </m:r>
                  <m:f>
                    <m:fPr>
                      <m:ctrlPr>
                        <a:rPr lang="en-AU" sz="1400" b="0" i="1">
                          <a:latin typeface="Cambria Math" panose="02040503050406030204" pitchFamily="18" charset="0"/>
                        </a:rPr>
                      </m:ctrlPr>
                    </m:fPr>
                    <m:num>
                      <m:sSub>
                        <m:sSubPr>
                          <m:ctrlPr>
                            <a:rPr lang="en-AU" sz="1400" b="0" i="1">
                              <a:latin typeface="Cambria Math" panose="02040503050406030204" pitchFamily="18" charset="0"/>
                            </a:rPr>
                          </m:ctrlPr>
                        </m:sSubPr>
                        <m:e>
                          <m:r>
                            <a:rPr lang="en-AU" sz="1400" b="0" i="1">
                              <a:latin typeface="Cambria Math"/>
                            </a:rPr>
                            <m:t>𝐾</m:t>
                          </m:r>
                        </m:e>
                        <m:sub>
                          <m:r>
                            <a:rPr lang="en-AU" sz="1400" b="0" i="1">
                              <a:latin typeface="Cambria Math"/>
                            </a:rPr>
                            <m:t>1</m:t>
                          </m:r>
                        </m:sub>
                      </m:sSub>
                    </m:num>
                    <m:den>
                      <m:sSub>
                        <m:sSubPr>
                          <m:ctrlPr>
                            <a:rPr lang="en-AU" sz="1400" b="0" i="1">
                              <a:latin typeface="Cambria Math" panose="02040503050406030204" pitchFamily="18" charset="0"/>
                            </a:rPr>
                          </m:ctrlPr>
                        </m:sSubPr>
                        <m:e>
                          <m:r>
                            <a:rPr lang="en-AU" sz="1400" b="0" i="1">
                              <a:latin typeface="Cambria Math"/>
                            </a:rPr>
                            <m:t>𝐿</m:t>
                          </m:r>
                        </m:e>
                        <m:sub>
                          <m:r>
                            <a:rPr lang="en-AU" sz="1400" b="0" i="1">
                              <a:latin typeface="Cambria Math"/>
                            </a:rPr>
                            <m:t>1</m:t>
                          </m:r>
                        </m:sub>
                      </m:sSub>
                    </m:den>
                  </m:f>
                  <m:r>
                    <a:rPr lang="en-AU" sz="1400" b="0" i="1">
                      <a:latin typeface="Cambria Math"/>
                    </a:rPr>
                    <m:t>+</m:t>
                  </m:r>
                  <m:f>
                    <m:fPr>
                      <m:ctrlPr>
                        <a:rPr lang="en-AU" sz="1400" b="0" i="1">
                          <a:latin typeface="Cambria Math" panose="02040503050406030204" pitchFamily="18" charset="0"/>
                        </a:rPr>
                      </m:ctrlPr>
                    </m:fPr>
                    <m:num>
                      <m:sSub>
                        <m:sSubPr>
                          <m:ctrlPr>
                            <a:rPr lang="en-AU" sz="1400" b="0" i="1">
                              <a:latin typeface="Cambria Math" panose="02040503050406030204" pitchFamily="18" charset="0"/>
                            </a:rPr>
                          </m:ctrlPr>
                        </m:sSubPr>
                        <m:e>
                          <m:r>
                            <a:rPr lang="en-AU" sz="1400" b="0" i="1">
                              <a:latin typeface="Cambria Math"/>
                            </a:rPr>
                            <m:t>𝐾</m:t>
                          </m:r>
                        </m:e>
                        <m:sub>
                          <m:r>
                            <a:rPr lang="en-AU" sz="1400" b="0" i="1">
                              <a:latin typeface="Cambria Math"/>
                            </a:rPr>
                            <m:t>2</m:t>
                          </m:r>
                        </m:sub>
                      </m:sSub>
                    </m:num>
                    <m:den>
                      <m:sSub>
                        <m:sSubPr>
                          <m:ctrlPr>
                            <a:rPr lang="en-AU" sz="1400" b="0" i="1">
                              <a:latin typeface="Cambria Math" panose="02040503050406030204" pitchFamily="18" charset="0"/>
                            </a:rPr>
                          </m:ctrlPr>
                        </m:sSubPr>
                        <m:e>
                          <m:r>
                            <a:rPr lang="en-AU" sz="1400" b="0" i="1">
                              <a:latin typeface="Cambria Math"/>
                            </a:rPr>
                            <m:t>𝐿</m:t>
                          </m:r>
                        </m:e>
                        <m:sub>
                          <m:r>
                            <a:rPr lang="en-AU" sz="1400" b="0" i="1">
                              <a:latin typeface="Cambria Math"/>
                            </a:rPr>
                            <m:t>2</m:t>
                          </m:r>
                        </m:sub>
                      </m:sSub>
                    </m:den>
                  </m:f>
                  <m:r>
                    <a:rPr lang="en-AU" sz="1400" b="0" i="1">
                      <a:latin typeface="Cambria Math"/>
                    </a:rPr>
                    <m:t>−</m:t>
                  </m:r>
                  <m:f>
                    <m:fPr>
                      <m:ctrlPr>
                        <a:rPr lang="en-AU" sz="1400" b="0" i="1">
                          <a:latin typeface="Cambria Math" panose="02040503050406030204" pitchFamily="18" charset="0"/>
                        </a:rPr>
                      </m:ctrlPr>
                    </m:fPr>
                    <m:num>
                      <m:r>
                        <a:rPr lang="en-AU" sz="1400" b="0" i="1">
                          <a:latin typeface="Cambria Math"/>
                        </a:rPr>
                        <m:t>𝑁𝑃𝑉</m:t>
                      </m:r>
                      <m:d>
                        <m:dPr>
                          <m:ctrlPr>
                            <a:rPr lang="en-AU" sz="1400" b="0" i="1">
                              <a:latin typeface="Cambria Math" panose="02040503050406030204" pitchFamily="18" charset="0"/>
                            </a:rPr>
                          </m:ctrlPr>
                        </m:dPr>
                        <m:e>
                          <m:sSub>
                            <m:sSubPr>
                              <m:ctrlPr>
                                <a:rPr lang="en-AU" sz="1400" b="0" i="1">
                                  <a:latin typeface="Cambria Math" panose="02040503050406030204" pitchFamily="18" charset="0"/>
                                </a:rPr>
                              </m:ctrlPr>
                            </m:sSubPr>
                            <m:e>
                              <m:r>
                                <a:rPr lang="en-AU" sz="1400" b="0" i="1">
                                  <a:latin typeface="Cambria Math"/>
                                </a:rPr>
                                <m:t>𝑅</m:t>
                              </m:r>
                            </m:e>
                            <m:sub>
                              <m:r>
                                <a:rPr lang="en-AU" sz="1400" b="0" i="1">
                                  <a:latin typeface="Cambria Math"/>
                                </a:rPr>
                                <m:t>𝑖</m:t>
                              </m:r>
                            </m:sub>
                          </m:sSub>
                          <m:r>
                            <a:rPr lang="en-AU" sz="1400" b="0" i="1">
                              <a:latin typeface="Cambria Math"/>
                            </a:rPr>
                            <m:t>−</m:t>
                          </m:r>
                          <m:sSub>
                            <m:sSubPr>
                              <m:ctrlPr>
                                <a:rPr lang="en-AU" sz="1400" b="0" i="1">
                                  <a:latin typeface="Cambria Math" panose="02040503050406030204" pitchFamily="18" charset="0"/>
                                </a:rPr>
                              </m:ctrlPr>
                            </m:sSubPr>
                            <m:e>
                              <m:r>
                                <a:rPr lang="en-AU" sz="1400" b="0" i="1">
                                  <a:latin typeface="Cambria Math"/>
                                </a:rPr>
                                <m:t>𝐶</m:t>
                              </m:r>
                            </m:e>
                            <m:sub>
                              <m:r>
                                <a:rPr lang="en-AU" sz="1400" b="0" i="1">
                                  <a:latin typeface="Cambria Math"/>
                                </a:rPr>
                                <m:t>𝑖</m:t>
                              </m:r>
                            </m:sub>
                          </m:sSub>
                        </m:e>
                      </m:d>
                    </m:num>
                    <m:den>
                      <m:sSub>
                        <m:sSubPr>
                          <m:ctrlPr>
                            <a:rPr lang="en-AU" sz="1400" b="0" i="1">
                              <a:latin typeface="Cambria Math" panose="02040503050406030204" pitchFamily="18" charset="0"/>
                            </a:rPr>
                          </m:ctrlPr>
                        </m:sSubPr>
                        <m:e>
                          <m:r>
                            <a:rPr lang="en-AU" sz="1400" b="0" i="1">
                              <a:latin typeface="Cambria Math"/>
                            </a:rPr>
                            <m:t>𝐿</m:t>
                          </m:r>
                        </m:e>
                        <m:sub>
                          <m:r>
                            <a:rPr lang="en-AU" sz="1400" b="0" i="1">
                              <a:latin typeface="Cambria Math"/>
                            </a:rPr>
                            <m:t>3</m:t>
                          </m:r>
                        </m:sub>
                      </m:sSub>
                    </m:den>
                  </m:f>
                </m:oMath>
              </a14:m>
              <a:r>
                <a:rPr lang="en-AU" sz="1400"/>
                <a:t>    </a:t>
              </a:r>
              <a:r>
                <a:rPr lang="en-AU" sz="1100" i="1"/>
                <a:t>for i = financial</a:t>
              </a:r>
              <a:r>
                <a:rPr lang="en-AU" sz="1100" i="1" baseline="0"/>
                <a:t> </a:t>
              </a:r>
              <a:r>
                <a:rPr lang="en-AU" sz="1100" i="1"/>
                <a:t>years</a:t>
              </a:r>
              <a:r>
                <a:rPr lang="en-AU" sz="1100"/>
                <a:t> 1, ...,</a:t>
              </a:r>
              <a:r>
                <a:rPr lang="en-AU" sz="1100" baseline="0"/>
                <a:t> </a:t>
              </a:r>
              <a:r>
                <a:rPr lang="en-AU" sz="1100" i="1" baseline="0"/>
                <a:t>n</a:t>
              </a:r>
              <a:endParaRPr lang="en-AU" sz="1100" i="1"/>
            </a:p>
          </xdr:txBody>
        </xdr:sp>
      </mc:Choice>
      <mc:Fallback xmlns="">
        <xdr:sp macro="" textlink="">
          <xdr:nvSpPr>
            <xdr:cNvPr id="3" name="TextBox 2"/>
            <xdr:cNvSpPr txBox="1"/>
          </xdr:nvSpPr>
          <xdr:spPr>
            <a:xfrm>
              <a:off x="3324224" y="1543050"/>
              <a:ext cx="4324351" cy="552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AU" sz="1400" b="0" i="0">
                  <a:latin typeface="Cambria Math"/>
                </a:rPr>
                <a:t>〖𝑀𝑃〗_𝑆𝑐ℎ1=𝐾_1/𝐿_1 +𝐾_2/𝐿_2 −𝑁𝑃𝑉(𝑅_𝑖−𝐶_𝑖 )/𝐿_3 </a:t>
              </a:r>
              <a:r>
                <a:rPr lang="en-AU" sz="1400"/>
                <a:t>    </a:t>
              </a:r>
              <a:r>
                <a:rPr lang="en-AU" sz="1100" i="1"/>
                <a:t>for i = financial</a:t>
              </a:r>
              <a:r>
                <a:rPr lang="en-AU" sz="1100" i="1" baseline="0"/>
                <a:t> </a:t>
              </a:r>
              <a:r>
                <a:rPr lang="en-AU" sz="1100" i="1"/>
                <a:t>years</a:t>
              </a:r>
              <a:r>
                <a:rPr lang="en-AU" sz="1100"/>
                <a:t> 1, ...,</a:t>
              </a:r>
              <a:r>
                <a:rPr lang="en-AU" sz="1100" baseline="0"/>
                <a:t> </a:t>
              </a:r>
              <a:r>
                <a:rPr lang="en-AU" sz="1100" i="1" baseline="0"/>
                <a:t>n</a:t>
              </a:r>
              <a:endParaRPr lang="en-AU" sz="1100" i="1"/>
            </a:p>
          </xdr:txBody>
        </xdr:sp>
      </mc:Fallback>
    </mc:AlternateContent>
    <xdr:clientData/>
  </xdr:oneCellAnchor>
</xdr:wsDr>
</file>

<file path=xl/drawings/drawing2.xml><?xml version="1.0" encoding="utf-8"?>
<xdr:wsDr xmlns:xdr="http://schemas.openxmlformats.org/drawingml/2006/spreadsheetDrawing" xmlns:a="http://schemas.openxmlformats.org/drawingml/2006/main">
  <xdr:twoCellAnchor>
    <xdr:from>
      <xdr:col>37</xdr:col>
      <xdr:colOff>38100</xdr:colOff>
      <xdr:row>11</xdr:row>
      <xdr:rowOff>19050</xdr:rowOff>
    </xdr:from>
    <xdr:to>
      <xdr:col>37</xdr:col>
      <xdr:colOff>314325</xdr:colOff>
      <xdr:row>18</xdr:row>
      <xdr:rowOff>142875</xdr:rowOff>
    </xdr:to>
    <xdr:sp macro="" textlink="">
      <xdr:nvSpPr>
        <xdr:cNvPr id="2" name="Right Brace 1">
          <a:extLst>
            <a:ext uri="{FF2B5EF4-FFF2-40B4-BE49-F238E27FC236}">
              <a16:creationId xmlns:a16="http://schemas.microsoft.com/office/drawing/2014/main" id="{00000000-0008-0000-0800-000002000000}"/>
            </a:ext>
          </a:extLst>
        </xdr:cNvPr>
        <xdr:cNvSpPr/>
      </xdr:nvSpPr>
      <xdr:spPr>
        <a:xfrm>
          <a:off x="25117425" y="2838450"/>
          <a:ext cx="276225" cy="119062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AU" sz="1100"/>
        </a:p>
      </xdr:txBody>
    </xdr:sp>
    <xdr:clientData/>
  </xdr:twoCellAnchor>
</xdr:wsDr>
</file>

<file path=xl/persons/person.xml><?xml version="1.0" encoding="utf-8"?>
<personList xmlns="http://schemas.microsoft.com/office/spreadsheetml/2018/threadedcomments" xmlns:x="http://schemas.openxmlformats.org/spreadsheetml/2006/main">
  <person displayName="Kate Beatty" id="{3B086FED-FDC2-40CC-B9E9-74D2D9910ABD}" userId="kob@sydneywater.com.au" providerId="PeoplePicker"/>
  <person displayName="Daniel Galassi" id="{F0EA1955-AF79-4CFB-9042-2F16CA1C8A70}" userId="S::21e@sydneywater.com.au::46fa7712-b973-4e63-9082-0c286c5201e2" providerId="AD"/>
  <person displayName="Kate Beatty" id="{AD2CE0E0-53D5-4D38-88AB-858955E054D7}" userId="S::kob@sydneywater.com.au::f3d385fe-1da5-46f8-856a-88d92f142f8b" providerId="AD"/>
</personList>
</file>

<file path=xl/theme/theme1.xml><?xml version="1.0" encoding="utf-8"?>
<a:theme xmlns:a="http://schemas.openxmlformats.org/drawingml/2006/main" name="IPART">
  <a:themeElements>
    <a:clrScheme name="IPART">
      <a:dk1>
        <a:srgbClr val="212122"/>
      </a:dk1>
      <a:lt1>
        <a:sysClr val="window" lastClr="FFFFFF"/>
      </a:lt1>
      <a:dk2>
        <a:srgbClr val="007BC4"/>
      </a:dk2>
      <a:lt2>
        <a:srgbClr val="A0A09A"/>
      </a:lt2>
      <a:accent1>
        <a:srgbClr val="46B849"/>
      </a:accent1>
      <a:accent2>
        <a:srgbClr val="F68B1F"/>
      </a:accent2>
      <a:accent3>
        <a:srgbClr val="D12026"/>
      </a:accent3>
      <a:accent4>
        <a:srgbClr val="1B4486"/>
      </a:accent4>
      <a:accent5>
        <a:srgbClr val="8F439B"/>
      </a:accent5>
      <a:accent6>
        <a:srgbClr val="989891"/>
      </a:accent6>
      <a:hlink>
        <a:srgbClr val="0070C0"/>
      </a:hlink>
      <a:folHlink>
        <a:srgbClr val="7030A0"/>
      </a:folHlink>
    </a:clrScheme>
    <a:fontScheme name="iPart">
      <a:majorFont>
        <a:latin typeface="Book Antiqua"/>
        <a:ea typeface=""/>
        <a:cs typeface=""/>
      </a:majorFont>
      <a:minorFont>
        <a:latin typeface="Book Antiqu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241" dT="2025-09-01T02:11:57.31" personId="{F0EA1955-AF79-4CFB-9042-2F16CA1C8A70}" id="{C6794972-39D1-4D2C-A320-7CEE5C38844E}">
    <text>Changed to 1 as per John M’s advice</text>
  </threadedComment>
</ThreadedComments>
</file>

<file path=xl/threadedComments/threadedComment2.xml><?xml version="1.0" encoding="utf-8"?>
<ThreadedComments xmlns="http://schemas.microsoft.com/office/spreadsheetml/2018/threadedcomments" xmlns:x="http://schemas.openxmlformats.org/spreadsheetml/2006/main">
  <threadedComment ref="L314" dT="2025-07-28T08:06:12.96" personId="{AD2CE0E0-53D5-4D38-88AB-858955E054D7}" id="{BD567BCB-3198-4CB6-B5C6-5EB2A6A5725D}" done="1">
    <text>Need to check if it is correct to multiply MEERA value by ‘units’ when these are land assets/easements.</text>
  </threadedComment>
  <threadedComment ref="L314" dT="2025-08-28T07:09:53.06" personId="{F0EA1955-AF79-4CFB-9042-2F16CA1C8A70}" id="{B73B9BE6-C755-444E-B401-0B554699D2B4}" parentId="{BD567BCB-3198-4CB6-B5C6-5EB2A6A5725D}">
    <text xml:space="preserve">@Kate Beatty  I’ve captured all line items from the FAR - Land orig cost and changed the quantity to 1 as per John M’s advice. How would I go about apportioning the borrowing costs across these land assets? 
</text>
    <mentions>
      <mention mentionpersonId="{3B086FED-FDC2-40CC-B9E9-74D2D9910ABD}" mentionId="{44A01B98-0B6C-475F-9C35-283EE97FCCD3}" startIndex="0" length="12"/>
    </mentions>
  </threadedComment>
</ThreadedComments>
</file>

<file path=xl/worksheets/_rels/sheet1.xml.rels><?xml version="1.0" encoding="UTF-8" standalone="yes"?>
<Relationships xmlns="http://schemas.openxmlformats.org/package/2006/relationships"><Relationship Id="rId3" Type="http://schemas.openxmlformats.org/officeDocument/2006/relationships/hyperlink" Target="https://www.ipart.nsw.gov.au/Home/Industries/Water/Reviews/Metro-Pricing/Review-of-recycled-water-prices-for-public-water-utilities" TargetMode="External"/><Relationship Id="rId2" Type="http://schemas.openxmlformats.org/officeDocument/2006/relationships/hyperlink" Target="https://www.ipart.nsw.gov.au/Home/Industries/Water/Reviews/Metro-Pricing/Developer-charges-and-backlog-sewerage-charges-for-metropolitan-water-agencies-2017" TargetMode="External"/><Relationship Id="rId1" Type="http://schemas.openxmlformats.org/officeDocument/2006/relationships/hyperlink" Target="mailto:greg_mclennan@ipart.nsw.gov.au" TargetMode="Externa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ipart.nsw.gov.au/Home/Industries/Water/Reviews/Metro-Pricing/Developer-charges-and-backlog-sewerage-charges-for-metropolitan-water-agencies-2017"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ipart.nsw.gov.au/Home/Industries/Water/Reviews/Metro-Pricing/Developer-charges-and-backlog-sewerage-charges-for-metropolitan-water-agencies-2017" TargetMode="External"/></Relationships>
</file>

<file path=xl/worksheets/_rels/sheet12.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www.ipart.nsw.gov.au/Home/Industries/Water/Reviews/Metro-Pricing/Review-of-recycled-water-prices-for-public-water-utilities"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ipart.nsw.gov.au/Home/Industries/Water/Reviews/Metro-Pricing/Developer-charges-and-backlog-sewerage-charges-for-metropolitan-water-agencies-2017"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2.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I102"/>
  <sheetViews>
    <sheetView showGridLines="0" zoomScale="85" zoomScaleNormal="85" workbookViewId="0">
      <selection activeCell="E85" sqref="E85"/>
    </sheetView>
  </sheetViews>
  <sheetFormatPr defaultColWidth="9.125" defaultRowHeight="11.4" x14ac:dyDescent="0.2"/>
  <cols>
    <col min="1" max="3" width="2.75" style="39" customWidth="1"/>
    <col min="4" max="4" width="10.25" style="39" customWidth="1"/>
    <col min="5" max="5" width="139.75" style="39" customWidth="1"/>
    <col min="6" max="16384" width="9.125" style="39"/>
  </cols>
  <sheetData>
    <row r="1" spans="3:9" ht="12" customHeight="1" x14ac:dyDescent="0.2"/>
    <row r="2" spans="3:9" ht="12" customHeight="1" x14ac:dyDescent="0.3">
      <c r="D2" s="55"/>
      <c r="E2" s="55"/>
    </row>
    <row r="3" spans="3:9" ht="20.25" customHeight="1" x14ac:dyDescent="0.3">
      <c r="C3" s="55" t="s">
        <v>0</v>
      </c>
      <c r="D3" s="245"/>
      <c r="E3" s="245"/>
      <c r="F3" s="246"/>
      <c r="G3" s="246"/>
      <c r="H3" s="246"/>
      <c r="I3" s="246"/>
    </row>
    <row r="4" spans="3:9" ht="12" customHeight="1" x14ac:dyDescent="0.2">
      <c r="C4" s="245"/>
      <c r="D4" s="245"/>
      <c r="E4" s="245"/>
      <c r="F4" s="246"/>
      <c r="G4" s="246"/>
      <c r="H4" s="246"/>
      <c r="I4" s="246"/>
    </row>
    <row r="5" spans="3:9" ht="12" x14ac:dyDescent="0.25">
      <c r="C5" s="73" t="s">
        <v>1</v>
      </c>
      <c r="D5" s="73"/>
      <c r="E5" s="247" t="s">
        <v>2</v>
      </c>
      <c r="F5" s="246"/>
      <c r="G5" s="246"/>
      <c r="I5" s="246"/>
    </row>
    <row r="6" spans="3:9" x14ac:dyDescent="0.2">
      <c r="C6" s="39" t="s">
        <v>3</v>
      </c>
      <c r="E6" s="248" t="s">
        <v>4</v>
      </c>
      <c r="F6" s="246"/>
      <c r="G6" s="246"/>
      <c r="I6" s="246"/>
    </row>
    <row r="8" spans="3:9" ht="15.75" customHeight="1" x14ac:dyDescent="0.2">
      <c r="C8" s="245"/>
      <c r="D8" s="245"/>
      <c r="E8" s="245"/>
      <c r="F8" s="246"/>
      <c r="G8" s="246"/>
    </row>
    <row r="10" spans="3:9" ht="13.8" x14ac:dyDescent="0.25">
      <c r="C10" s="249" t="s">
        <v>5</v>
      </c>
      <c r="D10" s="249"/>
      <c r="E10" s="250"/>
    </row>
    <row r="12" spans="3:9" ht="27" customHeight="1" x14ac:dyDescent="0.2">
      <c r="C12" s="272" t="s">
        <v>6</v>
      </c>
      <c r="D12" s="272"/>
      <c r="E12" s="272"/>
      <c r="F12" s="246"/>
      <c r="G12" s="246"/>
      <c r="I12" s="246"/>
    </row>
    <row r="13" spans="3:9" x14ac:dyDescent="0.2">
      <c r="C13" s="83"/>
      <c r="D13" s="83"/>
      <c r="E13" s="83"/>
      <c r="F13" s="246"/>
      <c r="G13" s="246"/>
      <c r="I13" s="246"/>
    </row>
    <row r="14" spans="3:9" ht="35.4" customHeight="1" x14ac:dyDescent="0.2">
      <c r="C14" s="272" t="s">
        <v>7</v>
      </c>
      <c r="D14" s="272"/>
      <c r="E14" s="272"/>
      <c r="F14" s="246"/>
      <c r="G14" s="246"/>
      <c r="I14" s="246"/>
    </row>
    <row r="15" spans="3:9" ht="15" customHeight="1" x14ac:dyDescent="0.2">
      <c r="C15" s="251"/>
      <c r="D15" s="251"/>
      <c r="E15" s="246"/>
      <c r="F15" s="246"/>
      <c r="G15" s="246"/>
      <c r="I15" s="246"/>
    </row>
    <row r="16" spans="3:9" ht="15" customHeight="1" x14ac:dyDescent="0.25">
      <c r="C16" s="249" t="s">
        <v>8</v>
      </c>
      <c r="D16" s="249"/>
      <c r="E16" s="252"/>
      <c r="F16" s="246"/>
      <c r="G16" s="246"/>
      <c r="I16" s="246"/>
    </row>
    <row r="17" spans="2:9" ht="15" customHeight="1" x14ac:dyDescent="0.2">
      <c r="C17" s="251"/>
      <c r="D17" s="251"/>
      <c r="E17" s="246"/>
      <c r="F17" s="246"/>
      <c r="G17" s="246"/>
      <c r="I17" s="246"/>
    </row>
    <row r="18" spans="2:9" ht="37.5" customHeight="1" x14ac:dyDescent="0.2">
      <c r="C18" s="272" t="str">
        <f ca="1">"The template is designed to calculate the asset related components of a maximum price (excluding headwork assets and scheme cost allocation).  Some example data has been included for illustrative purposes in the '"&amp;MID(CELL("filename",'Pre-1996 assets'!$A$1),FIND("]",CELL("filename",'Pre-1996 assets'!$A$1))+1,255)&amp;"', '"&amp;MID(CELL("filename",'Post-1996 commissioned assets'!$A$1),FIND("]",CELL("filename",'Post-1996 commissioned assets'!$A$1))+1,255)&amp;"', '"&amp;MID(CELL("filename",'Uncommissioned assets'!$A$1),FIND("]",CELL("filename",'Uncommissioned assets'!$A$1))+1,255)&amp;"', and '"&amp;MID(CELL("filename",'ET inputs'!$A$1),FIND("]",CELL("filename",'ET inputs'!$A$1))+1,255)&amp;"' worksheets.  Please delete all illustrative data to ensure the template produces the correct results."</f>
        <v>The template is designed to calculate the asset related components of a maximum price (excluding headwork assets and scheme cost allocation).  Some example data has been included for illustrative purposes in the 'Pre-1996 assets', 'Post-1996 commissioned assets', 'Uncommissioned assets', and 'ET inputs' worksheets.  Please delete all illustrative data to ensure the template produces the correct results.</v>
      </c>
      <c r="D18" s="272"/>
      <c r="E18" s="272"/>
      <c r="F18" s="246"/>
      <c r="G18" s="246"/>
      <c r="I18" s="246"/>
    </row>
    <row r="19" spans="2:9" ht="6" customHeight="1" x14ac:dyDescent="0.2">
      <c r="D19" s="251"/>
      <c r="E19" s="246"/>
      <c r="F19" s="246"/>
      <c r="G19" s="246"/>
      <c r="I19" s="246"/>
    </row>
    <row r="20" spans="2:9" ht="37.5" customHeight="1" x14ac:dyDescent="0.2">
      <c r="B20" s="253"/>
      <c r="C20" s="272" t="str">
        <f ca="1">"There are no macros in the model.  To use the model, simply enter the required inputs on the '"&amp;MID(CELL("filename",'General inputs'!$A$1),FIND("]",CELL("filename",'General inputs'!$A$1))+1,255)&amp;"' worksheet then enter the required data into the appropriate (blue) cells in the other worksheets in dollars of the selected year. The model will then automatically calculate the maximum price. Please note that the formatting on the '"&amp;MID(CELL("filename",'MP Calculations'!A2),FIND("]",CELL("filename",'MP Calculations'!A2))+1,255)&amp;"' worksheet has been automated to reflect the correct date ranges."</f>
        <v>There are no macros in the model.  To use the model, simply enter the required inputs on the 'General inputs' worksheet then enter the required data into the appropriate (blue) cells in the other worksheets in dollars of the selected year. The model will then automatically calculate the maximum price. Please note that the formatting on the 'MP Calculations' worksheet has been automated to reflect the correct date ranges.</v>
      </c>
      <c r="D20" s="272"/>
      <c r="E20" s="272"/>
      <c r="F20" s="246"/>
      <c r="G20" s="246"/>
      <c r="I20" s="246"/>
    </row>
    <row r="21" spans="2:9" x14ac:dyDescent="0.2">
      <c r="B21" s="253"/>
      <c r="C21" s="83"/>
      <c r="D21" s="83"/>
      <c r="E21" s="83"/>
      <c r="F21" s="246"/>
      <c r="G21" s="246"/>
      <c r="I21" s="246"/>
    </row>
    <row r="22" spans="2:9" ht="13.8" x14ac:dyDescent="0.25">
      <c r="B22" s="253"/>
      <c r="C22" s="249" t="s">
        <v>9</v>
      </c>
      <c r="D22" s="249"/>
      <c r="E22" s="252"/>
      <c r="F22" s="246"/>
      <c r="G22" s="246"/>
      <c r="I22" s="246"/>
    </row>
    <row r="23" spans="2:9" x14ac:dyDescent="0.2">
      <c r="D23" s="251"/>
      <c r="E23" s="246"/>
      <c r="F23" s="246"/>
      <c r="G23" s="246"/>
      <c r="I23" s="246"/>
    </row>
    <row r="24" spans="2:9" ht="12" x14ac:dyDescent="0.25">
      <c r="C24" s="73" t="s">
        <v>10</v>
      </c>
      <c r="D24" s="251"/>
      <c r="E24" s="246"/>
      <c r="F24" s="246"/>
      <c r="G24" s="246"/>
      <c r="I24" s="246"/>
    </row>
    <row r="25" spans="2:9" ht="6" customHeight="1" x14ac:dyDescent="0.2">
      <c r="D25" s="251"/>
      <c r="E25" s="246"/>
      <c r="F25" s="246"/>
      <c r="G25" s="246"/>
      <c r="I25" s="246"/>
    </row>
    <row r="26" spans="2:9" ht="15" customHeight="1" x14ac:dyDescent="0.2">
      <c r="C26" s="273" t="s">
        <v>11</v>
      </c>
      <c r="D26" s="273"/>
      <c r="E26" s="273"/>
      <c r="F26" s="246"/>
      <c r="G26" s="246"/>
      <c r="H26" s="246"/>
      <c r="I26" s="246"/>
    </row>
    <row r="27" spans="2:9" ht="6" customHeight="1" x14ac:dyDescent="0.2">
      <c r="D27" s="251"/>
      <c r="E27" s="246"/>
      <c r="F27" s="246"/>
      <c r="G27" s="246"/>
      <c r="H27" s="246"/>
      <c r="I27" s="246"/>
    </row>
    <row r="28" spans="2:9" ht="15" customHeight="1" x14ac:dyDescent="0.2">
      <c r="C28" s="254" t="s">
        <v>12</v>
      </c>
      <c r="D28" s="255" t="str">
        <f ca="1">MID(CELL("filename",'General inputs'!$A$1),FIND("]",CELL("filename",'General inputs'!$A$1))+1,255)</f>
        <v>General inputs</v>
      </c>
      <c r="E28" s="246"/>
      <c r="F28" s="246"/>
      <c r="G28" s="246"/>
      <c r="H28" s="246"/>
      <c r="I28" s="246"/>
    </row>
    <row r="29" spans="2:9" ht="15" customHeight="1" x14ac:dyDescent="0.2">
      <c r="C29" s="254" t="s">
        <v>12</v>
      </c>
      <c r="D29" s="246" t="str">
        <f ca="1">MID(CELL("filename",'Pre-1996 assets'!$A$1),FIND("]",CELL("filename",'Pre-1996 assets'!$A$1))+1,255)</f>
        <v>Pre-1996 assets</v>
      </c>
      <c r="E29" s="246"/>
      <c r="F29" s="246"/>
      <c r="G29" s="246"/>
      <c r="H29" s="246"/>
      <c r="I29" s="246"/>
    </row>
    <row r="30" spans="2:9" ht="15" customHeight="1" x14ac:dyDescent="0.2">
      <c r="C30" s="254" t="s">
        <v>12</v>
      </c>
      <c r="D30" s="246" t="str">
        <f ca="1">MID(CELL("filename",'Post-1996 commissioned assets'!$A$1),FIND("]",CELL("filename",'Post-1996 commissioned assets'!$A$1))+1,255)</f>
        <v>Post-1996 commissioned assets</v>
      </c>
      <c r="E30" s="246"/>
      <c r="F30" s="246"/>
      <c r="G30" s="246"/>
      <c r="H30" s="246"/>
      <c r="I30" s="246"/>
    </row>
    <row r="31" spans="2:9" ht="15" customHeight="1" x14ac:dyDescent="0.2">
      <c r="C31" s="254" t="s">
        <v>12</v>
      </c>
      <c r="D31" s="246" t="str">
        <f ca="1">MID(CELL("filename",'Uncommissioned assets'!$A$1),FIND("]",CELL("filename",'Uncommissioned assets'!$A$1))+1,255)</f>
        <v>Uncommissioned assets</v>
      </c>
      <c r="E31" s="246"/>
      <c r="F31" s="246"/>
      <c r="G31" s="246"/>
      <c r="H31" s="246"/>
      <c r="I31" s="246"/>
    </row>
    <row r="32" spans="2:9" ht="15" customHeight="1" x14ac:dyDescent="0.2">
      <c r="C32" s="254" t="s">
        <v>12</v>
      </c>
      <c r="D32" s="246" t="str">
        <f ca="1">MID(CELL("filename",'ET inputs'!$A$1),FIND("]",CELL("filename",'ET inputs'!$A$1))+1,255)</f>
        <v>ET inputs</v>
      </c>
      <c r="E32" s="246"/>
      <c r="F32" s="246"/>
      <c r="G32" s="246"/>
      <c r="H32" s="246"/>
      <c r="I32" s="246"/>
    </row>
    <row r="33" spans="3:9" ht="15" customHeight="1" x14ac:dyDescent="0.2">
      <c r="D33" s="246"/>
      <c r="E33" s="246"/>
      <c r="F33" s="246"/>
      <c r="G33" s="246"/>
      <c r="H33" s="246"/>
      <c r="I33" s="246"/>
    </row>
    <row r="34" spans="3:9" ht="12" x14ac:dyDescent="0.25">
      <c r="C34" s="73" t="s">
        <v>13</v>
      </c>
      <c r="F34" s="246"/>
      <c r="G34" s="246"/>
      <c r="H34" s="246"/>
      <c r="I34" s="246"/>
    </row>
    <row r="35" spans="3:9" ht="6" customHeight="1" x14ac:dyDescent="0.2">
      <c r="C35" s="83"/>
      <c r="D35" s="83"/>
      <c r="E35" s="83"/>
      <c r="F35" s="246"/>
      <c r="G35" s="246"/>
      <c r="H35" s="246"/>
      <c r="I35" s="246"/>
    </row>
    <row r="36" spans="3:9" ht="15" customHeight="1" x14ac:dyDescent="0.2">
      <c r="C36" s="272" t="s">
        <v>14</v>
      </c>
      <c r="D36" s="272"/>
      <c r="E36" s="272"/>
      <c r="F36" s="246"/>
      <c r="G36" s="246"/>
      <c r="H36" s="246"/>
      <c r="I36" s="246"/>
    </row>
    <row r="37" spans="3:9" ht="6" customHeight="1" x14ac:dyDescent="0.2">
      <c r="D37" s="251"/>
      <c r="E37" s="246"/>
      <c r="F37" s="246"/>
      <c r="G37" s="246"/>
      <c r="H37" s="246"/>
      <c r="I37" s="246"/>
    </row>
    <row r="38" spans="3:9" ht="15" customHeight="1" x14ac:dyDescent="0.2">
      <c r="C38" s="256" t="s">
        <v>12</v>
      </c>
      <c r="D38" s="246" t="str">
        <f ca="1">MID(CELL("filename",'Reduction amount'!$A$1),FIND("]",CELL("filename",'Reduction amount'!$A$1))+1,255)</f>
        <v>Reduction amount</v>
      </c>
      <c r="E38" s="246"/>
      <c r="F38" s="246"/>
      <c r="G38" s="246"/>
      <c r="H38" s="246"/>
      <c r="I38" s="246"/>
    </row>
    <row r="39" spans="3:9" ht="6" customHeight="1" x14ac:dyDescent="0.2">
      <c r="D39" s="251"/>
      <c r="E39" s="246"/>
      <c r="F39" s="246"/>
      <c r="G39" s="246"/>
      <c r="H39" s="246"/>
      <c r="I39" s="246"/>
    </row>
    <row r="40" spans="3:9" ht="39" customHeight="1" x14ac:dyDescent="0.2">
      <c r="C40" s="272" t="str">
        <f ca="1">"On this worksheet the agency can generate the time series for Ri (revenue) and Ci (opex) over the required timeframe. These time series can be copied or linked through to the '"&amp;MID(CELL("filename",'MP Calculations'!$A$1),FIND("]",CELL("filename",'MP Calculations'!$A$1))+1,255)&amp;"' worksheet, where the reduction amount is calculated.  (This template does not generate the Ri and Ci components of the reduction amount because of the differences in price structures and operating environments between the agencies.)"</f>
        <v>On this worksheet the agency can generate the time series for Ri (revenue) and Ci (opex) over the required timeframe. These time series can be copied or linked through to the 'MP Calculations' worksheet, where the reduction amount is calculated.  (This template does not generate the Ri and Ci components of the reduction amount because of the differences in price structures and operating environments between the agencies.)</v>
      </c>
      <c r="D40" s="272"/>
      <c r="E40" s="272"/>
      <c r="F40" s="246"/>
      <c r="G40" s="246"/>
      <c r="H40" s="246"/>
      <c r="I40" s="246"/>
    </row>
    <row r="41" spans="3:9" ht="6" customHeight="1" x14ac:dyDescent="0.2">
      <c r="D41" s="246"/>
      <c r="E41" s="246"/>
      <c r="F41" s="246"/>
      <c r="G41" s="246"/>
      <c r="H41" s="246"/>
      <c r="I41" s="246"/>
    </row>
    <row r="42" spans="3:9" ht="15" customHeight="1" x14ac:dyDescent="0.2">
      <c r="C42" s="39" t="str">
        <f ca="1">"The '"&amp;MID(CELL("filename",'Reduction amount'!$A$1),FIND("]",CELL("filename",'Reduction amount'!$A$1))+1,255)&amp;"' worksheet provides instructions on how to incorporate the results in the maximum price calculations."</f>
        <v>The 'Reduction amount' worksheet provides instructions on how to incorporate the results in the maximum price calculations.</v>
      </c>
      <c r="D42" s="251"/>
      <c r="E42" s="246"/>
      <c r="F42" s="246"/>
      <c r="G42" s="246"/>
      <c r="H42" s="246"/>
      <c r="I42" s="246"/>
    </row>
    <row r="43" spans="3:9" ht="15" customHeight="1" x14ac:dyDescent="0.2">
      <c r="D43" s="251"/>
      <c r="E43" s="246"/>
      <c r="F43" s="246"/>
      <c r="G43" s="246"/>
      <c r="H43" s="246"/>
      <c r="I43" s="246"/>
    </row>
    <row r="44" spans="3:9" ht="15" customHeight="1" x14ac:dyDescent="0.25">
      <c r="C44" s="73" t="s">
        <v>15</v>
      </c>
      <c r="D44" s="246"/>
      <c r="E44" s="246"/>
      <c r="F44" s="246"/>
      <c r="G44" s="246"/>
      <c r="H44" s="246"/>
      <c r="I44" s="246"/>
    </row>
    <row r="45" spans="3:9" ht="6" customHeight="1" x14ac:dyDescent="0.25">
      <c r="C45" s="73"/>
      <c r="D45" s="246"/>
      <c r="E45" s="246"/>
      <c r="F45" s="246"/>
      <c r="G45" s="246"/>
      <c r="H45" s="246"/>
      <c r="I45" s="246"/>
    </row>
    <row r="46" spans="3:9" ht="15" customHeight="1" x14ac:dyDescent="0.2">
      <c r="C46" s="272" t="s">
        <v>16</v>
      </c>
      <c r="D46" s="272"/>
      <c r="E46" s="272"/>
      <c r="F46" s="246"/>
      <c r="G46" s="246"/>
      <c r="H46" s="246"/>
      <c r="I46" s="246"/>
    </row>
    <row r="47" spans="3:9" ht="6" customHeight="1" x14ac:dyDescent="0.2">
      <c r="C47" s="83"/>
      <c r="D47" s="83"/>
      <c r="E47" s="83"/>
      <c r="F47" s="246"/>
      <c r="G47" s="246"/>
      <c r="H47" s="246"/>
      <c r="I47" s="246"/>
    </row>
    <row r="48" spans="3:9" ht="15" customHeight="1" x14ac:dyDescent="0.2">
      <c r="C48" s="256" t="s">
        <v>12</v>
      </c>
      <c r="D48" s="246" t="str">
        <f ca="1">MID(CELL("filename",'Headwork assets'!$A$1),FIND("]",CELL("filename",'Headwork assets'!$A$1))+1,255)</f>
        <v>Headwork assets</v>
      </c>
      <c r="E48" s="246"/>
      <c r="F48" s="246"/>
      <c r="G48" s="246"/>
      <c r="H48" s="246"/>
      <c r="I48" s="246"/>
    </row>
    <row r="49" spans="3:9" ht="6" customHeight="1" x14ac:dyDescent="0.2">
      <c r="C49" s="256"/>
      <c r="D49" s="246"/>
      <c r="E49" s="246"/>
      <c r="F49" s="246"/>
      <c r="G49" s="246"/>
      <c r="H49" s="246"/>
      <c r="I49" s="246"/>
    </row>
    <row r="50" spans="3:9" ht="15" customHeight="1" x14ac:dyDescent="0.2">
      <c r="C50" s="273" t="s">
        <v>17</v>
      </c>
      <c r="D50" s="273"/>
      <c r="E50" s="273"/>
      <c r="F50" s="246"/>
      <c r="G50" s="246"/>
      <c r="H50" s="246"/>
      <c r="I50" s="246"/>
    </row>
    <row r="51" spans="3:9" ht="6" customHeight="1" x14ac:dyDescent="0.2">
      <c r="F51" s="246"/>
      <c r="G51" s="246"/>
      <c r="H51" s="246"/>
      <c r="I51" s="246"/>
    </row>
    <row r="52" spans="3:9" ht="24" customHeight="1" x14ac:dyDescent="0.2">
      <c r="C52" s="272" t="s">
        <v>18</v>
      </c>
      <c r="D52" s="272"/>
      <c r="E52" s="272"/>
      <c r="F52" s="246"/>
      <c r="G52" s="246"/>
      <c r="H52" s="246"/>
      <c r="I52" s="246"/>
    </row>
    <row r="53" spans="3:9" ht="15" customHeight="1" x14ac:dyDescent="0.2">
      <c r="C53" s="83"/>
      <c r="D53" s="83"/>
      <c r="E53" s="83"/>
      <c r="F53" s="246"/>
      <c r="G53" s="246"/>
      <c r="H53" s="246"/>
      <c r="I53" s="246"/>
    </row>
    <row r="54" spans="3:9" ht="15" customHeight="1" x14ac:dyDescent="0.2">
      <c r="C54" s="39" t="str">
        <f ca="1">"The '"&amp;MID(CELL("filename",'Headwork assets'!$A$1),FIND("]",CELL("filename",'Headwork assets'!$A$1))+1,255)&amp;"' worksheet provides instructions on how to incorporate the results in the maximum price calculations."</f>
        <v>The 'Headwork assets' worksheet provides instructions on how to incorporate the results in the maximum price calculations.</v>
      </c>
      <c r="D54" s="83"/>
      <c r="E54" s="83"/>
      <c r="F54" s="246"/>
      <c r="G54" s="246"/>
      <c r="H54" s="246"/>
      <c r="I54" s="246"/>
    </row>
    <row r="55" spans="3:9" ht="15" customHeight="1" x14ac:dyDescent="0.2">
      <c r="C55" s="83"/>
      <c r="D55" s="83"/>
      <c r="E55" s="83"/>
      <c r="F55" s="246"/>
      <c r="G55" s="246"/>
      <c r="H55" s="246"/>
      <c r="I55" s="246"/>
    </row>
    <row r="56" spans="3:9" ht="15" customHeight="1" x14ac:dyDescent="0.25">
      <c r="C56" s="73" t="s">
        <v>19</v>
      </c>
      <c r="D56" s="246"/>
      <c r="E56" s="246"/>
      <c r="F56" s="246"/>
      <c r="G56" s="246"/>
      <c r="H56" s="246"/>
      <c r="I56" s="246"/>
    </row>
    <row r="57" spans="3:9" ht="6" customHeight="1" x14ac:dyDescent="0.25">
      <c r="C57" s="73"/>
      <c r="D57" s="246"/>
      <c r="E57" s="246"/>
      <c r="F57" s="246"/>
      <c r="G57" s="246"/>
      <c r="H57" s="246"/>
      <c r="I57" s="246"/>
    </row>
    <row r="58" spans="3:9" ht="15" customHeight="1" x14ac:dyDescent="0.2">
      <c r="C58" s="272" t="s">
        <v>20</v>
      </c>
      <c r="D58" s="272"/>
      <c r="E58" s="272"/>
      <c r="F58" s="246"/>
      <c r="G58" s="246"/>
      <c r="H58" s="246"/>
      <c r="I58" s="246"/>
    </row>
    <row r="59" spans="3:9" ht="6" customHeight="1" x14ac:dyDescent="0.2">
      <c r="C59" s="83"/>
      <c r="D59" s="83"/>
      <c r="E59" s="83"/>
      <c r="F59" s="246"/>
      <c r="G59" s="246"/>
      <c r="H59" s="246"/>
      <c r="I59" s="246"/>
    </row>
    <row r="60" spans="3:9" ht="15" customHeight="1" x14ac:dyDescent="0.2">
      <c r="C60" s="256" t="s">
        <v>12</v>
      </c>
      <c r="D60" s="246" t="str">
        <f ca="1">MID(CELL("filename",'Scheme cost allocation'!$A$1),FIND("]",CELL("filename",'Scheme cost allocation'!$A$1))+1,255)</f>
        <v>Scheme cost allocation</v>
      </c>
      <c r="E60" s="246"/>
      <c r="F60" s="246"/>
      <c r="G60" s="246"/>
      <c r="H60" s="246"/>
      <c r="I60" s="246"/>
    </row>
    <row r="61" spans="3:9" ht="6" customHeight="1" x14ac:dyDescent="0.2">
      <c r="C61" s="256"/>
      <c r="D61" s="246"/>
      <c r="E61" s="246"/>
      <c r="F61" s="246"/>
      <c r="G61" s="246"/>
      <c r="H61" s="246"/>
      <c r="I61" s="246"/>
    </row>
    <row r="62" spans="3:9" ht="15" customHeight="1" x14ac:dyDescent="0.2">
      <c r="C62" s="273" t="s">
        <v>21</v>
      </c>
      <c r="D62" s="273"/>
      <c r="E62" s="273"/>
      <c r="F62" s="246"/>
      <c r="G62" s="246"/>
      <c r="H62" s="246"/>
      <c r="I62" s="246"/>
    </row>
    <row r="63" spans="3:9" ht="6" customHeight="1" x14ac:dyDescent="0.2">
      <c r="F63" s="246"/>
      <c r="G63" s="246"/>
      <c r="H63" s="246"/>
      <c r="I63" s="246"/>
    </row>
    <row r="64" spans="3:9" ht="24" customHeight="1" x14ac:dyDescent="0.2">
      <c r="C64" s="272" t="s">
        <v>18</v>
      </c>
      <c r="D64" s="272"/>
      <c r="E64" s="272"/>
      <c r="F64" s="246"/>
      <c r="G64" s="246"/>
      <c r="H64" s="246"/>
      <c r="I64" s="246"/>
    </row>
    <row r="65" spans="3:9" ht="6" customHeight="1" x14ac:dyDescent="0.2">
      <c r="C65" s="83"/>
      <c r="D65" s="83"/>
      <c r="E65" s="83"/>
      <c r="F65" s="246"/>
      <c r="G65" s="246"/>
      <c r="H65" s="246"/>
      <c r="I65" s="246"/>
    </row>
    <row r="66" spans="3:9" ht="15" customHeight="1" x14ac:dyDescent="0.2">
      <c r="C66" s="39" t="str">
        <f ca="1">"The '"&amp;MID(CELL("filename",'Headwork assets'!$A$1),FIND("]",CELL("filename",'Headwork assets'!$A$1))+1,255)&amp;"' worksheet provides instructions on how to incorporate the results in the maximum price calculations."</f>
        <v>The 'Headwork assets' worksheet provides instructions on how to incorporate the results in the maximum price calculations.</v>
      </c>
      <c r="D66" s="83"/>
      <c r="E66" s="83"/>
      <c r="F66" s="246"/>
      <c r="G66" s="246"/>
      <c r="H66" s="246"/>
      <c r="I66" s="246"/>
    </row>
    <row r="67" spans="3:9" ht="15" customHeight="1" x14ac:dyDescent="0.2">
      <c r="C67" s="83"/>
      <c r="D67" s="83"/>
      <c r="E67" s="83"/>
      <c r="F67" s="246"/>
      <c r="G67" s="246"/>
      <c r="H67" s="246"/>
      <c r="I67" s="246"/>
    </row>
    <row r="68" spans="3:9" ht="15" customHeight="1" x14ac:dyDescent="0.25">
      <c r="C68" s="73" t="s">
        <v>22</v>
      </c>
      <c r="D68" s="73"/>
      <c r="E68" s="257"/>
      <c r="F68" s="246"/>
      <c r="G68" s="246"/>
      <c r="H68" s="246"/>
      <c r="I68" s="246"/>
    </row>
    <row r="69" spans="3:9" ht="6" customHeight="1" x14ac:dyDescent="0.25">
      <c r="C69" s="73"/>
      <c r="D69" s="73"/>
      <c r="E69" s="257"/>
      <c r="F69" s="246"/>
      <c r="G69" s="246"/>
      <c r="H69" s="246"/>
      <c r="I69" s="246"/>
    </row>
    <row r="70" spans="3:9" ht="15" customHeight="1" x14ac:dyDescent="0.25">
      <c r="C70" s="258" t="s">
        <v>23</v>
      </c>
      <c r="D70" s="73"/>
      <c r="E70" s="257"/>
      <c r="F70" s="246"/>
      <c r="G70" s="246"/>
      <c r="H70" s="246"/>
      <c r="I70" s="246"/>
    </row>
    <row r="71" spans="3:9" ht="6" customHeight="1" x14ac:dyDescent="0.25">
      <c r="C71" s="258"/>
      <c r="D71" s="73"/>
      <c r="E71" s="257"/>
      <c r="F71" s="246"/>
      <c r="G71" s="246"/>
      <c r="H71" s="246"/>
      <c r="I71" s="246"/>
    </row>
    <row r="72" spans="3:9" ht="12" x14ac:dyDescent="0.2">
      <c r="C72" s="256" t="s">
        <v>12</v>
      </c>
      <c r="D72" s="255" t="str">
        <f ca="1">MID(CELL("filename",'MP Calculations'!A8),FIND("]",CELL("filename",'MP Calculations'!A8))+1,255)</f>
        <v>MP Calculations</v>
      </c>
      <c r="E72" s="257"/>
      <c r="F72" s="246"/>
      <c r="G72" s="246"/>
      <c r="H72" s="246"/>
      <c r="I72" s="246"/>
    </row>
    <row r="73" spans="3:9" ht="12" x14ac:dyDescent="0.2">
      <c r="C73" s="256" t="s">
        <v>12</v>
      </c>
      <c r="D73" s="255" t="str">
        <f ca="1">MID(CELL("filename",'Summary of result'!A11),FIND("]",CELL("filename",'Summary of result'!A11))+1,255)</f>
        <v>Summary of result</v>
      </c>
      <c r="E73" s="257"/>
      <c r="F73" s="246"/>
      <c r="G73" s="246"/>
      <c r="H73" s="246"/>
      <c r="I73" s="246"/>
    </row>
    <row r="74" spans="3:9" ht="6" customHeight="1" x14ac:dyDescent="0.2">
      <c r="C74" s="256"/>
      <c r="D74" s="255"/>
      <c r="E74" s="257"/>
      <c r="F74" s="246"/>
      <c r="G74" s="246"/>
      <c r="H74" s="246"/>
      <c r="I74" s="246"/>
    </row>
    <row r="75" spans="3:9" x14ac:dyDescent="0.2">
      <c r="C75" s="272" t="s">
        <v>24</v>
      </c>
      <c r="D75" s="272"/>
      <c r="E75" s="272"/>
      <c r="F75" s="246"/>
      <c r="G75" s="246"/>
      <c r="H75" s="246"/>
      <c r="I75" s="246"/>
    </row>
    <row r="76" spans="3:9" ht="15" customHeight="1" x14ac:dyDescent="0.2">
      <c r="D76" s="251"/>
      <c r="E76" s="246"/>
      <c r="F76" s="246"/>
      <c r="G76" s="246"/>
      <c r="H76" s="246"/>
      <c r="I76" s="246"/>
    </row>
    <row r="77" spans="3:9" ht="15" customHeight="1" x14ac:dyDescent="0.25">
      <c r="C77" s="73" t="s">
        <v>25</v>
      </c>
      <c r="D77" s="251"/>
      <c r="E77" s="246"/>
      <c r="F77" s="246"/>
      <c r="G77" s="246"/>
      <c r="H77" s="246"/>
      <c r="I77" s="246"/>
    </row>
    <row r="78" spans="3:9" ht="6" customHeight="1" x14ac:dyDescent="0.2">
      <c r="D78" s="251"/>
      <c r="E78" s="246"/>
      <c r="F78" s="246"/>
      <c r="G78" s="246"/>
      <c r="H78" s="246"/>
      <c r="I78" s="246"/>
    </row>
    <row r="79" spans="3:9" ht="15" customHeight="1" x14ac:dyDescent="0.2">
      <c r="C79" s="246" t="s">
        <v>26</v>
      </c>
      <c r="D79" s="251"/>
      <c r="E79" s="246"/>
      <c r="F79" s="246"/>
      <c r="G79" s="246"/>
      <c r="H79" s="246"/>
      <c r="I79" s="246"/>
    </row>
    <row r="80" spans="3:9" ht="6" customHeight="1" x14ac:dyDescent="0.2">
      <c r="C80" s="246"/>
      <c r="D80" s="251"/>
      <c r="E80" s="246"/>
      <c r="F80" s="246"/>
      <c r="G80" s="246"/>
      <c r="H80" s="246"/>
      <c r="I80" s="246"/>
    </row>
    <row r="81" spans="3:9" ht="15" customHeight="1" x14ac:dyDescent="0.2">
      <c r="C81" s="256" t="s">
        <v>12</v>
      </c>
      <c r="D81" s="255" t="str">
        <f ca="1">MID(CELL("filename",'Asset exclusions'!A14),FIND("]",CELL("filename",'Asset exclusions'!A14))+1,255)</f>
        <v>Asset exclusions</v>
      </c>
      <c r="E81" s="246"/>
      <c r="F81" s="246"/>
      <c r="G81" s="246"/>
      <c r="H81" s="246"/>
      <c r="I81" s="246"/>
    </row>
    <row r="82" spans="3:9" ht="15" customHeight="1" x14ac:dyDescent="0.2">
      <c r="C82" s="251"/>
      <c r="D82" s="251"/>
      <c r="E82" s="246"/>
      <c r="F82" s="246"/>
      <c r="G82" s="246"/>
      <c r="H82" s="246"/>
      <c r="I82" s="246"/>
    </row>
    <row r="83" spans="3:9" ht="15" customHeight="1" x14ac:dyDescent="0.2">
      <c r="C83" s="257" t="s">
        <v>27</v>
      </c>
      <c r="D83" s="251"/>
      <c r="E83" s="246"/>
      <c r="F83" s="246"/>
      <c r="G83" s="246"/>
      <c r="H83" s="246"/>
      <c r="I83" s="246"/>
    </row>
    <row r="84" spans="3:9" ht="15" customHeight="1" x14ac:dyDescent="0.2">
      <c r="C84" s="256" t="s">
        <v>12</v>
      </c>
      <c r="D84" s="228" t="s">
        <v>28</v>
      </c>
      <c r="F84" s="246"/>
      <c r="G84" s="246"/>
      <c r="H84" s="246"/>
      <c r="I84" s="246"/>
    </row>
    <row r="85" spans="3:9" ht="15" customHeight="1" x14ac:dyDescent="0.2">
      <c r="C85" s="256" t="s">
        <v>12</v>
      </c>
      <c r="D85" s="40" t="s">
        <v>29</v>
      </c>
      <c r="F85" s="246"/>
      <c r="G85" s="246"/>
      <c r="H85" s="246"/>
      <c r="I85" s="246"/>
    </row>
    <row r="86" spans="3:9" ht="15" customHeight="1" x14ac:dyDescent="0.2">
      <c r="C86" s="256"/>
      <c r="D86" s="40"/>
      <c r="F86" s="246"/>
      <c r="G86" s="246"/>
      <c r="H86" s="246"/>
      <c r="I86" s="246"/>
    </row>
    <row r="87" spans="3:9" ht="15" customHeight="1" x14ac:dyDescent="0.2">
      <c r="C87" s="246" t="s">
        <v>30</v>
      </c>
      <c r="D87" s="40"/>
      <c r="F87" s="246"/>
      <c r="G87" s="246"/>
      <c r="H87" s="246"/>
      <c r="I87" s="246"/>
    </row>
    <row r="88" spans="3:9" ht="15" customHeight="1" x14ac:dyDescent="0.2">
      <c r="C88" s="246"/>
      <c r="D88" s="40"/>
      <c r="F88" s="246"/>
      <c r="G88" s="246"/>
      <c r="H88" s="246"/>
      <c r="I88" s="246"/>
    </row>
    <row r="89" spans="3:9" ht="15" customHeight="1" x14ac:dyDescent="0.2">
      <c r="C89" s="251"/>
      <c r="D89" s="251"/>
      <c r="E89" s="246"/>
      <c r="F89" s="246"/>
      <c r="G89" s="246"/>
      <c r="H89" s="246"/>
      <c r="I89" s="246"/>
    </row>
    <row r="90" spans="3:9" ht="15" customHeight="1" x14ac:dyDescent="0.25">
      <c r="C90" s="249" t="s">
        <v>31</v>
      </c>
      <c r="D90" s="249"/>
      <c r="E90" s="252"/>
      <c r="F90" s="246"/>
      <c r="G90" s="246"/>
      <c r="H90" s="246"/>
      <c r="I90" s="246"/>
    </row>
    <row r="91" spans="3:9" ht="15" customHeight="1" x14ac:dyDescent="0.2">
      <c r="C91" s="258" t="s">
        <v>32</v>
      </c>
      <c r="D91" s="258"/>
      <c r="E91" s="246"/>
      <c r="F91" s="246"/>
      <c r="G91" s="246"/>
      <c r="H91" s="246"/>
      <c r="I91" s="246"/>
    </row>
    <row r="92" spans="3:9" ht="15" customHeight="1" x14ac:dyDescent="0.2">
      <c r="C92" s="259" t="s">
        <v>33</v>
      </c>
      <c r="D92" s="259"/>
      <c r="E92" s="259"/>
      <c r="F92" s="246"/>
      <c r="G92" s="246"/>
      <c r="H92" s="246"/>
      <c r="I92" s="246"/>
    </row>
    <row r="93" spans="3:9" ht="15" customHeight="1" x14ac:dyDescent="0.2">
      <c r="C93" s="260" t="s">
        <v>34</v>
      </c>
      <c r="D93" s="261"/>
      <c r="E93" s="261"/>
      <c r="F93" s="246"/>
      <c r="G93" s="246"/>
      <c r="H93" s="246"/>
      <c r="I93" s="246"/>
    </row>
    <row r="94" spans="3:9" ht="15" customHeight="1" x14ac:dyDescent="0.2">
      <c r="C94" s="258"/>
      <c r="D94" s="258"/>
      <c r="E94" s="258" t="s">
        <v>35</v>
      </c>
      <c r="F94" s="246"/>
      <c r="G94" s="246"/>
      <c r="H94" s="246"/>
      <c r="I94" s="246"/>
    </row>
    <row r="95" spans="3:9" ht="15" customHeight="1" x14ac:dyDescent="0.2">
      <c r="C95" s="262" t="s">
        <v>36</v>
      </c>
      <c r="D95" s="263"/>
      <c r="E95" s="263"/>
      <c r="F95" s="246"/>
      <c r="G95" s="246"/>
      <c r="H95" s="246"/>
      <c r="I95" s="246"/>
    </row>
    <row r="96" spans="3:9" ht="15" customHeight="1" x14ac:dyDescent="0.2">
      <c r="C96" s="264" t="s">
        <v>37</v>
      </c>
      <c r="D96" s="264"/>
      <c r="E96" s="264"/>
      <c r="F96" s="246"/>
      <c r="G96" s="246"/>
      <c r="H96" s="246"/>
      <c r="I96" s="246"/>
    </row>
    <row r="97" spans="3:9" ht="15" customHeight="1" x14ac:dyDescent="0.25">
      <c r="C97" s="265" t="s">
        <v>38</v>
      </c>
      <c r="D97" s="265"/>
      <c r="E97" s="265"/>
      <c r="F97" s="246"/>
      <c r="G97" s="246"/>
      <c r="H97" s="246"/>
      <c r="I97" s="246"/>
    </row>
    <row r="98" spans="3:9" ht="15" customHeight="1" x14ac:dyDescent="0.2">
      <c r="C98" s="266" t="s">
        <v>39</v>
      </c>
      <c r="D98" s="266"/>
      <c r="E98" s="267"/>
      <c r="F98" s="246"/>
      <c r="G98" s="246"/>
      <c r="H98" s="246"/>
      <c r="I98" s="246"/>
    </row>
    <row r="99" spans="3:9" ht="15" customHeight="1" x14ac:dyDescent="0.2">
      <c r="C99" s="268" t="s">
        <v>40</v>
      </c>
      <c r="D99" s="268"/>
      <c r="E99" s="269"/>
      <c r="F99" s="246"/>
      <c r="G99" s="246"/>
      <c r="H99" s="246"/>
      <c r="I99" s="246"/>
    </row>
    <row r="100" spans="3:9" ht="15" customHeight="1" x14ac:dyDescent="0.2">
      <c r="C100" s="270" t="s">
        <v>41</v>
      </c>
      <c r="D100" s="271"/>
      <c r="E100" s="271"/>
      <c r="F100" s="246"/>
      <c r="G100" s="246"/>
      <c r="H100" s="246"/>
      <c r="I100" s="246"/>
    </row>
    <row r="101" spans="3:9" ht="15" customHeight="1" x14ac:dyDescent="0.2">
      <c r="C101" s="251"/>
      <c r="D101" s="251"/>
      <c r="E101" s="246"/>
      <c r="F101" s="246"/>
      <c r="G101" s="246"/>
      <c r="H101" s="246"/>
      <c r="I101" s="246"/>
    </row>
    <row r="102" spans="3:9" x14ac:dyDescent="0.2">
      <c r="C102" s="251"/>
      <c r="D102" s="251"/>
      <c r="E102" s="246"/>
      <c r="F102" s="246"/>
      <c r="G102" s="246"/>
      <c r="H102" s="246"/>
      <c r="I102" s="246"/>
    </row>
  </sheetData>
  <sheetProtection algorithmName="SHA-512" hashValue="jCuCwX7opWe1RZIRHkWb5AkfERS67qdSgsyQoBQs66EGZZbIj7P0RnOgl163I/iC4AYdFlMF20b49aCWwntHMw==" saltValue="xloAmjyw1BRihrPDLkd53Q==" spinCount="100000" sheet="1" objects="1" scenarios="1"/>
  <mergeCells count="14">
    <mergeCell ref="C75:E75"/>
    <mergeCell ref="C12:E12"/>
    <mergeCell ref="C18:E18"/>
    <mergeCell ref="C26:E26"/>
    <mergeCell ref="C20:E20"/>
    <mergeCell ref="C36:E36"/>
    <mergeCell ref="C40:E40"/>
    <mergeCell ref="C46:E46"/>
    <mergeCell ref="C50:E50"/>
    <mergeCell ref="C52:E52"/>
    <mergeCell ref="C58:E58"/>
    <mergeCell ref="C62:E62"/>
    <mergeCell ref="C64:E64"/>
    <mergeCell ref="C14:E14"/>
  </mergeCells>
  <hyperlinks>
    <hyperlink ref="E6" r:id="rId1" xr:uid="{00000000-0004-0000-0000-000000000000}"/>
    <hyperlink ref="D84" r:id="rId2" xr:uid="{00000000-0004-0000-0000-000001000000}"/>
    <hyperlink ref="D85" r:id="rId3" xr:uid="{00000000-0004-0000-0000-000002000000}"/>
  </hyperlinks>
  <pageMargins left="0.7" right="0.7" top="0.75" bottom="0.75" header="0.3" footer="0.3"/>
  <pageSetup paperSize="9" scale="94" orientation="landscape" horizontalDpi="200" verticalDpi="20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tabColor theme="7" tint="0.79998168889431442"/>
  </sheetPr>
  <dimension ref="A3:AE68"/>
  <sheetViews>
    <sheetView showGridLines="0" zoomScaleNormal="100" workbookViewId="0">
      <selection activeCell="L7" sqref="L7"/>
    </sheetView>
  </sheetViews>
  <sheetFormatPr defaultRowHeight="11.4" x14ac:dyDescent="0.2"/>
  <cols>
    <col min="1" max="2" width="2.75" style="39" customWidth="1"/>
    <col min="3" max="3" width="5.75" style="39" customWidth="1"/>
    <col min="4" max="4" width="9" style="39"/>
    <col min="5" max="5" width="12.125" style="39" customWidth="1"/>
    <col min="6" max="6" width="9" style="39"/>
    <col min="7" max="7" width="9.125" style="39" customWidth="1"/>
    <col min="8" max="10" width="9" style="39"/>
    <col min="11" max="11" width="12.625" style="39" customWidth="1"/>
    <col min="12" max="16384" width="9" style="39"/>
  </cols>
  <sheetData>
    <row r="3" spans="3:7" ht="21" x14ac:dyDescent="0.4">
      <c r="C3" s="227" t="s">
        <v>614</v>
      </c>
    </row>
    <row r="6" spans="3:7" x14ac:dyDescent="0.2">
      <c r="C6" s="39" t="s">
        <v>615</v>
      </c>
      <c r="G6" s="228" t="s">
        <v>28</v>
      </c>
    </row>
    <row r="8" spans="3:7" ht="15" x14ac:dyDescent="0.35">
      <c r="C8" s="39" t="s">
        <v>616</v>
      </c>
    </row>
    <row r="10" spans="3:7" x14ac:dyDescent="0.2">
      <c r="C10" s="39" t="s">
        <v>617</v>
      </c>
    </row>
    <row r="12" spans="3:7" ht="15" x14ac:dyDescent="0.35">
      <c r="C12" s="52" t="s">
        <v>618</v>
      </c>
      <c r="D12" s="229" t="s">
        <v>619</v>
      </c>
    </row>
    <row r="13" spans="3:7" ht="15" x14ac:dyDescent="0.35">
      <c r="C13" s="52" t="s">
        <v>620</v>
      </c>
      <c r="D13" s="229" t="s">
        <v>621</v>
      </c>
      <c r="F13" s="41"/>
    </row>
    <row r="15" spans="3:7" x14ac:dyDescent="0.2">
      <c r="C15" s="39" t="str">
        <f ca="1">"The corresponding time series should be manually entered or linked to the following ranges in the "&amp;MID(CELL("filename",'MP Calculations'!$A$1),FIND("]",CELL("filename",'MP Calculations'!$A$1))+1,255)&amp;" worksheet. "</f>
        <v xml:space="preserve">The corresponding time series should be manually entered or linked to the following ranges in the MP Calculations worksheet. </v>
      </c>
    </row>
    <row r="17" spans="1:31" ht="15" x14ac:dyDescent="0.35">
      <c r="C17" s="52" t="s">
        <v>622</v>
      </c>
      <c r="D17" s="230" t="str">
        <f>ADDRESS(ROW(INDEX('MP Calculations'!$Q$39:$Q$129,MATCH('General inputs'!$I$16,'MP Calculations'!$D$39:$D$129))),COLUMN(INDEX('MP Calculations'!$Q$39:$Q$129,MATCH('General inputs'!$I$16,'MP Calculations'!$D$39:$D$129))))&amp;":"&amp;ADDRESS(ROW(INDEX('MP Calculations'!$Q$39:$Q$129,MATCH(LEFT('General inputs'!$I$16,4)+'General inputs'!$H$38-1&amp;"-"&amp;RIGHT('General inputs'!$I$16,2)+'General inputs'!$H$38-1,'MP Calculations'!$D$39:$D$129))),COLUMN(INDEX('MP Calculations'!$Q$39:$Q$129,MATCH('General inputs'!$I$16,'MP Calculations'!$D$39:$D$129))))</f>
        <v>$Q$69:$Q$98</v>
      </c>
      <c r="E17" s="231"/>
    </row>
    <row r="18" spans="1:31" ht="15" x14ac:dyDescent="0.35">
      <c r="C18" s="52" t="s">
        <v>623</v>
      </c>
      <c r="D18" s="230" t="str">
        <f>ADDRESS(ROW(INDEX('MP Calculations'!$T$39:$T$129,MATCH('General inputs'!$I$16,'MP Calculations'!$D$39:$D$129))),COLUMN(INDEX('MP Calculations'!$T$39:$T$129,MATCH('General inputs'!$I$16,'MP Calculations'!$D$39:$D$129))))&amp;":"&amp;ADDRESS(ROW(INDEX('MP Calculations'!$T$39:$T$129,MATCH(LEFT('General inputs'!$I$16,4)+'General inputs'!$H$38-1&amp;"-"&amp;RIGHT('General inputs'!$I$16,2)+'General inputs'!$H$38-1,'MP Calculations'!$D$39:$D$129))),COLUMN(INDEX('MP Calculations'!$T$39:$T$129,MATCH('General inputs'!$I$16,'MP Calculations'!$D$39:$D$129))))</f>
        <v>$T$69:$T$98</v>
      </c>
      <c r="E18" s="231"/>
    </row>
    <row r="19" spans="1:31" x14ac:dyDescent="0.2">
      <c r="C19" s="52"/>
    </row>
    <row r="20" spans="1:31" ht="15" x14ac:dyDescent="0.35">
      <c r="C20" s="39" t="s">
        <v>624</v>
      </c>
      <c r="G20" s="39" t="s">
        <v>625</v>
      </c>
      <c r="H20" s="232" t="str">
        <f>'General inputs'!I16</f>
        <v>2025-26</v>
      </c>
      <c r="J20" s="39" t="s">
        <v>626</v>
      </c>
      <c r="K20" s="233" t="str">
        <f>LEFT(H20,4)+'General inputs'!$H$38-1&amp;"-"&amp;RIGHT(H20,2)+'General inputs'!$H$38-1</f>
        <v>2054-55</v>
      </c>
    </row>
    <row r="21" spans="1:31" x14ac:dyDescent="0.2">
      <c r="C21" s="52"/>
    </row>
    <row r="22" spans="1:31" x14ac:dyDescent="0.2">
      <c r="C22" s="234" t="s">
        <v>627</v>
      </c>
    </row>
    <row r="23" spans="1:31" x14ac:dyDescent="0.2">
      <c r="C23" s="234"/>
      <c r="D23" s="234" t="s">
        <v>628</v>
      </c>
    </row>
    <row r="24" spans="1:31" x14ac:dyDescent="0.2">
      <c r="C24" s="234"/>
      <c r="D24" s="234" t="str">
        <f ca="1">"All calculations on the worksheet need to be converted into "&amp;'General inputs'!$H$42&amp;", $"&amp;'General inputs'!$I$40&amp;" before being linked into the "&amp;MID(CELL("filename",'MP Calculations'!$A$1),FIND("]",CELL("filename",'MP Calculations'!$A$1))+1,255)&amp;"."</f>
        <v>All calculations on the worksheet need to be converted into $, $2025-26 before being linked into the MP Calculations.</v>
      </c>
    </row>
    <row r="25" spans="1:31" x14ac:dyDescent="0.2">
      <c r="C25" s="234"/>
      <c r="D25" s="234" t="s">
        <v>629</v>
      </c>
    </row>
    <row r="26" spans="1:31" x14ac:dyDescent="0.2">
      <c r="C26" s="234"/>
      <c r="D26" s="235" t="s">
        <v>630</v>
      </c>
    </row>
    <row r="27" spans="1:31" x14ac:dyDescent="0.2">
      <c r="C27" s="234"/>
      <c r="D27" s="235" t="s">
        <v>631</v>
      </c>
    </row>
    <row r="28" spans="1:31" x14ac:dyDescent="0.2">
      <c r="C28" s="234"/>
      <c r="D28" s="234" t="s">
        <v>632</v>
      </c>
    </row>
    <row r="29" spans="1:31" x14ac:dyDescent="0.2">
      <c r="C29" s="234"/>
      <c r="D29" s="235" t="s">
        <v>633</v>
      </c>
    </row>
    <row r="30" spans="1:31" x14ac:dyDescent="0.2">
      <c r="C30" s="234"/>
      <c r="D30" s="235" t="s">
        <v>634</v>
      </c>
    </row>
    <row r="32" spans="1:31" x14ac:dyDescent="0.2">
      <c r="A32" s="236"/>
      <c r="B32" s="236"/>
      <c r="C32" s="236" t="s">
        <v>635</v>
      </c>
      <c r="D32" s="236"/>
      <c r="E32" s="236"/>
      <c r="F32" s="236"/>
      <c r="G32" s="236"/>
      <c r="H32" s="236"/>
      <c r="I32" s="236"/>
      <c r="J32" s="236"/>
      <c r="K32" s="236"/>
      <c r="L32" s="236"/>
      <c r="M32" s="236"/>
      <c r="N32" s="236"/>
      <c r="O32" s="236"/>
      <c r="P32" s="236"/>
      <c r="Q32" s="236"/>
      <c r="R32" s="236"/>
      <c r="S32" s="236"/>
      <c r="T32" s="236"/>
      <c r="U32" s="236"/>
      <c r="V32" s="236"/>
      <c r="W32" s="236"/>
      <c r="X32" s="236"/>
      <c r="Y32" s="236"/>
      <c r="Z32" s="236"/>
      <c r="AA32" s="236"/>
      <c r="AB32" s="236"/>
      <c r="AC32" s="236"/>
      <c r="AD32" s="236"/>
      <c r="AE32" s="236"/>
    </row>
    <row r="36" spans="3:14" ht="13.2" x14ac:dyDescent="0.25">
      <c r="C36" s="237"/>
      <c r="D36" s="237"/>
      <c r="E36" s="238" t="s">
        <v>636</v>
      </c>
      <c r="J36" s="238" t="s">
        <v>637</v>
      </c>
    </row>
    <row r="37" spans="3:14" ht="13.8" thickBot="1" x14ac:dyDescent="0.3">
      <c r="C37" s="237"/>
      <c r="D37" s="239" t="s">
        <v>107</v>
      </c>
      <c r="E37" s="240" t="s">
        <v>244</v>
      </c>
      <c r="F37" s="240"/>
      <c r="G37" s="240"/>
      <c r="H37" s="241"/>
      <c r="J37" s="239" t="s">
        <v>107</v>
      </c>
      <c r="K37" s="240" t="s">
        <v>638</v>
      </c>
      <c r="L37" s="240"/>
      <c r="M37" s="240"/>
      <c r="N37" s="241"/>
    </row>
    <row r="38" spans="3:14" ht="13.2" x14ac:dyDescent="0.25">
      <c r="C38" s="39">
        <v>0</v>
      </c>
      <c r="D38" s="242" t="s">
        <v>139</v>
      </c>
      <c r="E38" s="243">
        <v>49248.554502843501</v>
      </c>
      <c r="F38" s="244"/>
      <c r="G38" s="244"/>
      <c r="H38" s="244"/>
      <c r="J38" s="242" t="s">
        <v>139</v>
      </c>
      <c r="K38" s="244">
        <v>61338.612020084685</v>
      </c>
      <c r="L38" s="244"/>
      <c r="M38" s="244"/>
      <c r="N38" s="244"/>
    </row>
    <row r="39" spans="3:14" ht="13.2" x14ac:dyDescent="0.25">
      <c r="C39" s="39">
        <f>C38+1</f>
        <v>1</v>
      </c>
      <c r="D39" s="237" t="s">
        <v>151</v>
      </c>
      <c r="E39" s="243">
        <v>100109.41505433744</v>
      </c>
      <c r="F39" s="244"/>
      <c r="G39" s="244"/>
      <c r="H39" s="244"/>
      <c r="J39" s="237" t="s">
        <v>151</v>
      </c>
      <c r="K39" s="244">
        <v>132895.20676965194</v>
      </c>
      <c r="L39" s="244"/>
      <c r="M39" s="244"/>
      <c r="N39" s="244"/>
    </row>
    <row r="40" spans="3:14" ht="13.2" x14ac:dyDescent="0.25">
      <c r="C40" s="39">
        <f t="shared" ref="C40:C67" si="0">C39+1</f>
        <v>2</v>
      </c>
      <c r="D40" s="237" t="s">
        <v>153</v>
      </c>
      <c r="E40" s="243">
        <v>168943.78451231401</v>
      </c>
      <c r="F40" s="244"/>
      <c r="G40" s="244"/>
      <c r="H40" s="244"/>
      <c r="J40" s="237" t="s">
        <v>153</v>
      </c>
      <c r="K40" s="244">
        <v>231686.33219270455</v>
      </c>
      <c r="L40" s="244"/>
      <c r="M40" s="244"/>
      <c r="N40" s="244"/>
    </row>
    <row r="41" spans="3:14" ht="13.2" x14ac:dyDescent="0.25">
      <c r="C41" s="39">
        <f t="shared" si="0"/>
        <v>3</v>
      </c>
      <c r="D41" s="237" t="s">
        <v>154</v>
      </c>
      <c r="E41" s="243">
        <v>233806.7212772964</v>
      </c>
      <c r="F41" s="244"/>
      <c r="G41" s="244"/>
      <c r="H41" s="244"/>
      <c r="J41" s="237" t="s">
        <v>154</v>
      </c>
      <c r="K41" s="244">
        <v>415388.23174037482</v>
      </c>
      <c r="L41" s="244"/>
      <c r="M41" s="244"/>
      <c r="N41" s="244"/>
    </row>
    <row r="42" spans="3:14" ht="13.2" x14ac:dyDescent="0.25">
      <c r="C42" s="39">
        <f t="shared" si="0"/>
        <v>4</v>
      </c>
      <c r="D42" s="237" t="s">
        <v>156</v>
      </c>
      <c r="E42" s="243">
        <v>304482.31265643245</v>
      </c>
      <c r="F42" s="244"/>
      <c r="G42" s="244"/>
      <c r="H42" s="244"/>
      <c r="J42" s="237" t="s">
        <v>156</v>
      </c>
      <c r="K42" s="244">
        <v>585115.17536734371</v>
      </c>
      <c r="L42" s="244"/>
      <c r="M42" s="244"/>
      <c r="N42" s="244"/>
    </row>
    <row r="43" spans="3:14" ht="13.2" x14ac:dyDescent="0.25">
      <c r="C43" s="39">
        <f t="shared" si="0"/>
        <v>5</v>
      </c>
      <c r="D43" s="237" t="s">
        <v>157</v>
      </c>
      <c r="E43" s="243">
        <v>358190.59740976186</v>
      </c>
      <c r="F43" s="244"/>
      <c r="G43" s="244"/>
      <c r="H43" s="244"/>
      <c r="J43" s="237" t="s">
        <v>157</v>
      </c>
      <c r="K43" s="244">
        <v>761648.74056251952</v>
      </c>
      <c r="L43" s="244"/>
      <c r="M43" s="244"/>
      <c r="N43" s="244"/>
    </row>
    <row r="44" spans="3:14" ht="13.2" x14ac:dyDescent="0.25">
      <c r="C44" s="39">
        <f t="shared" si="0"/>
        <v>6</v>
      </c>
      <c r="D44" s="237" t="s">
        <v>639</v>
      </c>
      <c r="E44" s="243">
        <v>388665.26610425365</v>
      </c>
      <c r="F44" s="244"/>
      <c r="G44" s="244"/>
      <c r="H44" s="244"/>
      <c r="J44" s="237" t="s">
        <v>639</v>
      </c>
      <c r="K44" s="244">
        <v>886458.43177442555</v>
      </c>
      <c r="L44" s="244"/>
      <c r="M44" s="244"/>
      <c r="N44" s="244"/>
    </row>
    <row r="45" spans="3:14" ht="13.2" x14ac:dyDescent="0.25">
      <c r="C45" s="39">
        <f t="shared" si="0"/>
        <v>7</v>
      </c>
      <c r="D45" s="237" t="s">
        <v>640</v>
      </c>
      <c r="E45" s="243">
        <v>428633.88434181619</v>
      </c>
      <c r="F45" s="244"/>
      <c r="G45" s="244"/>
      <c r="H45" s="244"/>
      <c r="J45" s="237" t="s">
        <v>640</v>
      </c>
      <c r="K45" s="244">
        <v>973940.80283569393</v>
      </c>
      <c r="L45" s="244"/>
      <c r="M45" s="244"/>
      <c r="N45" s="244"/>
    </row>
    <row r="46" spans="3:14" ht="13.2" x14ac:dyDescent="0.25">
      <c r="C46" s="39">
        <f t="shared" si="0"/>
        <v>8</v>
      </c>
      <c r="D46" s="237" t="s">
        <v>641</v>
      </c>
      <c r="E46" s="243">
        <v>458955.88568869315</v>
      </c>
      <c r="F46" s="244"/>
      <c r="G46" s="244"/>
      <c r="H46" s="244"/>
      <c r="J46" s="237" t="s">
        <v>641</v>
      </c>
      <c r="K46" s="244">
        <v>1075961.7948001323</v>
      </c>
      <c r="L46" s="244"/>
      <c r="M46" s="244"/>
      <c r="N46" s="244"/>
    </row>
    <row r="47" spans="3:14" ht="13.2" x14ac:dyDescent="0.25">
      <c r="C47" s="39">
        <f t="shared" si="0"/>
        <v>9</v>
      </c>
      <c r="D47" s="237" t="s">
        <v>642</v>
      </c>
      <c r="E47" s="243">
        <v>483098.53602567443</v>
      </c>
      <c r="F47" s="244"/>
      <c r="G47" s="244"/>
      <c r="H47" s="244"/>
      <c r="J47" s="237" t="s">
        <v>642</v>
      </c>
      <c r="K47" s="244">
        <v>1158329.6971698615</v>
      </c>
      <c r="L47" s="244"/>
      <c r="M47" s="244"/>
      <c r="N47" s="244"/>
    </row>
    <row r="48" spans="3:14" ht="13.2" x14ac:dyDescent="0.25">
      <c r="C48" s="39">
        <f t="shared" si="0"/>
        <v>10</v>
      </c>
      <c r="D48" s="237" t="s">
        <v>643</v>
      </c>
      <c r="E48" s="243">
        <v>507250.79253995616</v>
      </c>
      <c r="F48" s="244"/>
      <c r="G48" s="244"/>
      <c r="H48" s="244"/>
      <c r="J48" s="237" t="s">
        <v>643</v>
      </c>
      <c r="K48" s="244">
        <v>1226749.1207121173</v>
      </c>
      <c r="L48" s="244"/>
      <c r="M48" s="244"/>
      <c r="N48" s="244"/>
    </row>
    <row r="49" spans="3:14" ht="13.2" x14ac:dyDescent="0.25">
      <c r="C49" s="39">
        <f t="shared" si="0"/>
        <v>11</v>
      </c>
      <c r="D49" s="237" t="s">
        <v>644</v>
      </c>
      <c r="E49" s="243">
        <v>521061.25119421573</v>
      </c>
      <c r="F49" s="244"/>
      <c r="G49" s="244"/>
      <c r="H49" s="244"/>
      <c r="J49" s="237" t="s">
        <v>644</v>
      </c>
      <c r="K49" s="244">
        <v>1288082.2533480998</v>
      </c>
      <c r="L49" s="244"/>
      <c r="M49" s="244"/>
      <c r="N49" s="244"/>
    </row>
    <row r="50" spans="3:14" ht="13.2" x14ac:dyDescent="0.25">
      <c r="C50" s="39">
        <f t="shared" si="0"/>
        <v>12</v>
      </c>
      <c r="D50" s="237" t="s">
        <v>645</v>
      </c>
      <c r="E50" s="243">
        <v>532250.12380399473</v>
      </c>
      <c r="F50" s="244"/>
      <c r="G50" s="244"/>
      <c r="H50" s="244"/>
      <c r="J50" s="237" t="s">
        <v>645</v>
      </c>
      <c r="K50" s="244">
        <v>1327394.5884582899</v>
      </c>
      <c r="L50" s="244"/>
      <c r="M50" s="244"/>
      <c r="N50" s="244"/>
    </row>
    <row r="51" spans="3:14" ht="13.2" x14ac:dyDescent="0.25">
      <c r="C51" s="39">
        <f t="shared" si="0"/>
        <v>13</v>
      </c>
      <c r="D51" s="237" t="s">
        <v>646</v>
      </c>
      <c r="E51" s="243">
        <v>543310.91747894173</v>
      </c>
      <c r="F51" s="244"/>
      <c r="G51" s="244"/>
      <c r="H51" s="244"/>
      <c r="J51" s="237" t="s">
        <v>646</v>
      </c>
      <c r="K51" s="244">
        <v>1364287.3583695081</v>
      </c>
      <c r="L51" s="244"/>
      <c r="M51" s="244"/>
      <c r="N51" s="244"/>
    </row>
    <row r="52" spans="3:14" ht="13.2" x14ac:dyDescent="0.25">
      <c r="C52" s="39">
        <f t="shared" si="0"/>
        <v>14</v>
      </c>
      <c r="D52" s="237" t="s">
        <v>647</v>
      </c>
      <c r="E52" s="243">
        <v>554186.96509564994</v>
      </c>
      <c r="F52" s="244"/>
      <c r="G52" s="244"/>
      <c r="H52" s="244"/>
      <c r="J52" s="237" t="s">
        <v>647</v>
      </c>
      <c r="K52" s="244">
        <v>1401105.1667980216</v>
      </c>
      <c r="L52" s="244"/>
      <c r="M52" s="244"/>
      <c r="N52" s="244"/>
    </row>
    <row r="53" spans="3:14" ht="13.2" x14ac:dyDescent="0.25">
      <c r="C53" s="39">
        <f t="shared" si="0"/>
        <v>15</v>
      </c>
      <c r="D53" s="237" t="s">
        <v>648</v>
      </c>
      <c r="E53" s="243">
        <v>564515.98282168049</v>
      </c>
      <c r="F53" s="244"/>
      <c r="G53" s="244"/>
      <c r="H53" s="244"/>
      <c r="J53" s="237" t="s">
        <v>648</v>
      </c>
      <c r="K53" s="244">
        <v>1437469.5162593098</v>
      </c>
      <c r="L53" s="244"/>
      <c r="M53" s="244"/>
      <c r="N53" s="244"/>
    </row>
    <row r="54" spans="3:14" ht="13.2" x14ac:dyDescent="0.25">
      <c r="C54" s="39">
        <f t="shared" si="0"/>
        <v>16</v>
      </c>
      <c r="D54" s="237" t="s">
        <v>649</v>
      </c>
      <c r="E54" s="243">
        <v>574324.37600975437</v>
      </c>
      <c r="F54" s="244"/>
      <c r="G54" s="244"/>
      <c r="H54" s="244"/>
      <c r="J54" s="237" t="s">
        <v>649</v>
      </c>
      <c r="K54" s="244">
        <v>1473572.034086602</v>
      </c>
      <c r="L54" s="244"/>
      <c r="M54" s="244"/>
      <c r="N54" s="244"/>
    </row>
    <row r="55" spans="3:14" ht="13.2" x14ac:dyDescent="0.25">
      <c r="C55" s="39">
        <f t="shared" si="0"/>
        <v>17</v>
      </c>
      <c r="D55" s="237" t="s">
        <v>650</v>
      </c>
      <c r="E55" s="243">
        <v>584044.76928837516</v>
      </c>
      <c r="F55" s="244"/>
      <c r="G55" s="244"/>
      <c r="H55" s="244"/>
      <c r="J55" s="237" t="s">
        <v>650</v>
      </c>
      <c r="K55" s="244">
        <v>1508687.6749046438</v>
      </c>
      <c r="L55" s="244"/>
      <c r="M55" s="244"/>
      <c r="N55" s="244"/>
    </row>
    <row r="56" spans="3:14" ht="13.2" x14ac:dyDescent="0.25">
      <c r="C56" s="39">
        <f t="shared" si="0"/>
        <v>18</v>
      </c>
      <c r="D56" s="237" t="s">
        <v>651</v>
      </c>
      <c r="E56" s="243">
        <v>592562.92320031254</v>
      </c>
      <c r="F56" s="244"/>
      <c r="G56" s="244"/>
      <c r="H56" s="244"/>
      <c r="J56" s="237" t="s">
        <v>651</v>
      </c>
      <c r="K56" s="244">
        <v>1543561.7280504631</v>
      </c>
      <c r="L56" s="244"/>
      <c r="M56" s="244"/>
      <c r="N56" s="244"/>
    </row>
    <row r="57" spans="3:14" ht="13.2" x14ac:dyDescent="0.25">
      <c r="C57" s="39">
        <f t="shared" si="0"/>
        <v>19</v>
      </c>
      <c r="D57" s="237" t="s">
        <v>652</v>
      </c>
      <c r="E57" s="243">
        <v>597582.10226811061</v>
      </c>
      <c r="F57" s="244"/>
      <c r="G57" s="244"/>
      <c r="H57" s="244"/>
      <c r="J57" s="237" t="s">
        <v>652</v>
      </c>
      <c r="K57" s="244">
        <v>1574416.7569936882</v>
      </c>
      <c r="L57" s="244"/>
      <c r="M57" s="244"/>
      <c r="N57" s="244"/>
    </row>
    <row r="58" spans="3:14" ht="13.2" x14ac:dyDescent="0.25">
      <c r="C58" s="39">
        <f t="shared" si="0"/>
        <v>20</v>
      </c>
      <c r="D58" s="237" t="s">
        <v>653</v>
      </c>
      <c r="E58" s="243">
        <v>602073.30954882177</v>
      </c>
      <c r="F58" s="244"/>
      <c r="G58" s="244"/>
      <c r="H58" s="244"/>
      <c r="J58" s="237" t="s">
        <v>653</v>
      </c>
      <c r="K58" s="244">
        <v>1587140.5146811805</v>
      </c>
      <c r="L58" s="244"/>
      <c r="M58" s="244"/>
      <c r="N58" s="244"/>
    </row>
    <row r="59" spans="3:14" ht="13.2" x14ac:dyDescent="0.25">
      <c r="C59" s="39">
        <f t="shared" si="0"/>
        <v>21</v>
      </c>
      <c r="D59" s="237" t="s">
        <v>654</v>
      </c>
      <c r="E59" s="243">
        <v>605622.8981854443</v>
      </c>
      <c r="F59" s="244"/>
      <c r="G59" s="244"/>
      <c r="H59" s="244"/>
      <c r="J59" s="237" t="s">
        <v>654</v>
      </c>
      <c r="K59" s="244">
        <v>1597029.577969918</v>
      </c>
      <c r="L59" s="244"/>
      <c r="M59" s="244"/>
      <c r="N59" s="244"/>
    </row>
    <row r="60" spans="3:14" ht="13.2" x14ac:dyDescent="0.25">
      <c r="C60" s="39">
        <f t="shared" si="0"/>
        <v>22</v>
      </c>
      <c r="D60" s="237" t="s">
        <v>655</v>
      </c>
      <c r="E60" s="243">
        <v>609039.38831028668</v>
      </c>
      <c r="F60" s="244"/>
      <c r="G60" s="244"/>
      <c r="H60" s="244"/>
      <c r="J60" s="237" t="s">
        <v>655</v>
      </c>
      <c r="K60" s="244">
        <v>1602016.3211614531</v>
      </c>
      <c r="L60" s="244"/>
      <c r="M60" s="244"/>
      <c r="N60" s="244"/>
    </row>
    <row r="61" spans="3:14" ht="13.2" x14ac:dyDescent="0.25">
      <c r="C61" s="39">
        <f t="shared" si="0"/>
        <v>23</v>
      </c>
      <c r="D61" s="237" t="s">
        <v>656</v>
      </c>
      <c r="E61" s="243">
        <v>612294.64048659324</v>
      </c>
      <c r="F61" s="244"/>
      <c r="G61" s="244"/>
      <c r="H61" s="244"/>
      <c r="J61" s="237" t="s">
        <v>656</v>
      </c>
      <c r="K61" s="244">
        <v>1607003.0643529883</v>
      </c>
      <c r="L61" s="244"/>
      <c r="M61" s="244"/>
      <c r="N61" s="244"/>
    </row>
    <row r="62" spans="3:14" ht="13.2" x14ac:dyDescent="0.25">
      <c r="C62" s="39">
        <f t="shared" si="0"/>
        <v>24</v>
      </c>
      <c r="D62" s="237" t="s">
        <v>657</v>
      </c>
      <c r="E62" s="243">
        <v>615356.07360655244</v>
      </c>
      <c r="F62" s="244"/>
      <c r="G62" s="244"/>
      <c r="H62" s="244"/>
      <c r="J62" s="237" t="s">
        <v>657</v>
      </c>
      <c r="K62" s="244">
        <v>1611161.729410708</v>
      </c>
      <c r="L62" s="244"/>
      <c r="M62" s="244"/>
      <c r="N62" s="244"/>
    </row>
    <row r="63" spans="3:14" ht="13.2" x14ac:dyDescent="0.25">
      <c r="C63" s="39">
        <f t="shared" si="0"/>
        <v>25</v>
      </c>
      <c r="D63" s="237" t="s">
        <v>658</v>
      </c>
      <c r="E63" s="243">
        <v>618413.72707673046</v>
      </c>
      <c r="F63" s="244"/>
      <c r="G63" s="244"/>
      <c r="H63" s="244"/>
      <c r="J63" s="237" t="s">
        <v>658</v>
      </c>
      <c r="K63" s="244">
        <v>1614316.4413327407</v>
      </c>
      <c r="L63" s="244"/>
      <c r="M63" s="244"/>
      <c r="N63" s="244"/>
    </row>
    <row r="64" spans="3:14" ht="13.2" x14ac:dyDescent="0.25">
      <c r="C64" s="39">
        <f t="shared" si="0"/>
        <v>26</v>
      </c>
      <c r="D64" s="237" t="s">
        <v>659</v>
      </c>
      <c r="E64" s="243">
        <v>621406.24865697499</v>
      </c>
      <c r="F64" s="244"/>
      <c r="G64" s="244"/>
      <c r="H64" s="244"/>
      <c r="J64" s="237" t="s">
        <v>659</v>
      </c>
      <c r="K64" s="244">
        <v>1617347.512247914</v>
      </c>
      <c r="L64" s="244"/>
      <c r="M64" s="244"/>
      <c r="N64" s="244"/>
    </row>
    <row r="65" spans="3:14" ht="13.2" x14ac:dyDescent="0.25">
      <c r="C65" s="39">
        <f t="shared" si="0"/>
        <v>27</v>
      </c>
      <c r="D65" s="237" t="s">
        <v>660</v>
      </c>
      <c r="E65" s="243">
        <v>624395.15431722905</v>
      </c>
      <c r="F65" s="244"/>
      <c r="G65" s="244"/>
      <c r="H65" s="244"/>
      <c r="J65" s="237" t="s">
        <v>660</v>
      </c>
      <c r="K65" s="244">
        <v>1620378.5831630875</v>
      </c>
      <c r="L65" s="244"/>
      <c r="M65" s="244"/>
      <c r="N65" s="244"/>
    </row>
    <row r="66" spans="3:14" ht="13.2" x14ac:dyDescent="0.25">
      <c r="C66" s="39">
        <f t="shared" si="0"/>
        <v>28</v>
      </c>
      <c r="D66" s="237" t="s">
        <v>661</v>
      </c>
      <c r="E66" s="243">
        <v>627380.45060731121</v>
      </c>
      <c r="F66" s="244"/>
      <c r="G66" s="244"/>
      <c r="H66" s="244"/>
      <c r="J66" s="237" t="s">
        <v>661</v>
      </c>
      <c r="K66" s="244">
        <v>1623409.6540782608</v>
      </c>
      <c r="L66" s="244"/>
      <c r="M66" s="244"/>
      <c r="N66" s="244"/>
    </row>
    <row r="67" spans="3:14" ht="13.2" x14ac:dyDescent="0.25">
      <c r="C67" s="39">
        <f t="shared" si="0"/>
        <v>29</v>
      </c>
      <c r="D67" s="237" t="s">
        <v>662</v>
      </c>
      <c r="E67" s="243">
        <v>630362.14406123082</v>
      </c>
      <c r="F67" s="244"/>
      <c r="G67" s="244"/>
      <c r="H67" s="244"/>
      <c r="J67" s="237" t="s">
        <v>662</v>
      </c>
      <c r="K67" s="244">
        <v>1626440.724993434</v>
      </c>
      <c r="L67" s="244"/>
      <c r="M67" s="244"/>
      <c r="N67" s="244"/>
    </row>
    <row r="68" spans="3:14" ht="13.2" x14ac:dyDescent="0.25">
      <c r="D68" s="237"/>
      <c r="E68" s="243"/>
      <c r="F68" s="244"/>
      <c r="G68" s="244"/>
      <c r="H68" s="244"/>
      <c r="J68" s="237"/>
      <c r="K68" s="243"/>
    </row>
  </sheetData>
  <sheetProtection algorithmName="SHA-512" hashValue="JXwSeP5bINrwzG7dahC2cL3PQgjeeetXeFlK1Ovk69jsXwkhQKYTwTXm0v5yxt062iWVmT0g/CwiFLSHZklGIQ==" saltValue="ioFdaCPVhyeoBmkCkzrTIw==" spinCount="100000" sheet="1" objects="1" scenarios="1"/>
  <hyperlinks>
    <hyperlink ref="G6" r:id="rId1" xr:uid="{00000000-0004-0000-0900-000000000000}"/>
  </hyperlink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tabColor theme="7" tint="0.79998168889431442"/>
  </sheetPr>
  <dimension ref="A3:AD18"/>
  <sheetViews>
    <sheetView showGridLines="0" workbookViewId="0">
      <selection sqref="A1:XFD1048576"/>
    </sheetView>
  </sheetViews>
  <sheetFormatPr defaultRowHeight="11.4" x14ac:dyDescent="0.2"/>
  <cols>
    <col min="1" max="2" width="2.75" customWidth="1"/>
    <col min="13" max="13" width="9.125" customWidth="1"/>
    <col min="16" max="16" width="9.125" customWidth="1"/>
  </cols>
  <sheetData>
    <row r="3" spans="1:30" ht="21" x14ac:dyDescent="0.4">
      <c r="C3" s="13" t="s">
        <v>663</v>
      </c>
      <c r="M3" s="15"/>
    </row>
    <row r="6" spans="1:30" x14ac:dyDescent="0.2">
      <c r="C6" t="s">
        <v>615</v>
      </c>
      <c r="G6" s="15" t="s">
        <v>28</v>
      </c>
    </row>
    <row r="8" spans="1:30" x14ac:dyDescent="0.2">
      <c r="C8" t="s">
        <v>664</v>
      </c>
    </row>
    <row r="10" spans="1:30" x14ac:dyDescent="0.2">
      <c r="C10" t="s">
        <v>665</v>
      </c>
      <c r="J10" s="16" t="str">
        <f>ADDRESS(ROW('MP Calculations'!$F$22),COLUMN('MP Calculations'!$F$22))</f>
        <v>$F$22</v>
      </c>
      <c r="K10" t="str">
        <f ca="1">"on the "&amp;MID(CELL("filename",'MP Calculations'!$A$1),FIND("]",CELL("filename",'MP Calculations'!$A$1))+1,255)&amp;" worksheet."</f>
        <v>on the MP Calculations worksheet.</v>
      </c>
    </row>
    <row r="12" spans="1:30" x14ac:dyDescent="0.2">
      <c r="C12" s="10" t="s">
        <v>666</v>
      </c>
    </row>
    <row r="13" spans="1:30" x14ac:dyDescent="0.2">
      <c r="D13" s="18" t="s">
        <v>667</v>
      </c>
    </row>
    <row r="14" spans="1:30" x14ac:dyDescent="0.2">
      <c r="D14" s="9" t="str">
        <f ca="1">"All calculations on the worksheet need to be converted into "&amp;'General inputs'!$H$42&amp;", $"&amp;'General inputs'!$I$40&amp;" before being linked into the "&amp;MID(CELL("filename",'MP Calculations'!$A$1),FIND("]",CELL("filename",'MP Calculations'!$A$1))+1,255)&amp;"."</f>
        <v>All calculations on the worksheet need to be converted into $, $2025-26 before being linked into the MP Calculations.</v>
      </c>
    </row>
    <row r="16" spans="1:30" x14ac:dyDescent="0.2">
      <c r="A16" s="8"/>
      <c r="B16" s="8"/>
      <c r="C16" s="8" t="s">
        <v>635</v>
      </c>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8" spans="4:4" x14ac:dyDescent="0.2">
      <c r="D18" s="9"/>
    </row>
  </sheetData>
  <sheetProtection algorithmName="SHA-512" hashValue="4Gx4d65Gg2V5ViUkkAWEEkVjp8dxGEKnTKNbdo3eNX0jMOJyt79UOSHAW+s9W3it9kYMJ/ICIu1vVYwtn+1ONw==" saltValue="JPIgIztkdEivGozm/OV6ew==" spinCount="100000" sheet="1" objects="1" scenarios="1"/>
  <hyperlinks>
    <hyperlink ref="G6"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
    <tabColor theme="7" tint="0.79998168889431442"/>
  </sheetPr>
  <dimension ref="A3:AD42"/>
  <sheetViews>
    <sheetView showGridLines="0" workbookViewId="0">
      <selection activeCell="I22" sqref="I22"/>
    </sheetView>
  </sheetViews>
  <sheetFormatPr defaultRowHeight="11.4" x14ac:dyDescent="0.2"/>
  <cols>
    <col min="1" max="2" width="2.75" customWidth="1"/>
    <col min="4" max="4" width="9.25" bestFit="1" customWidth="1"/>
    <col min="5" max="5" width="22.125" bestFit="1" customWidth="1"/>
    <col min="6" max="6" width="30.625" bestFit="1" customWidth="1"/>
    <col min="8" max="8" width="31.125" customWidth="1"/>
    <col min="9" max="9" width="10.25" bestFit="1" customWidth="1"/>
    <col min="11" max="11" width="10.125" customWidth="1"/>
    <col min="13" max="13" width="9.125" customWidth="1"/>
    <col min="16" max="16" width="9.125" customWidth="1"/>
  </cols>
  <sheetData>
    <row r="3" spans="1:30" ht="21" x14ac:dyDescent="0.4">
      <c r="C3" s="13" t="s">
        <v>668</v>
      </c>
      <c r="M3" s="15"/>
    </row>
    <row r="6" spans="1:30" x14ac:dyDescent="0.2">
      <c r="C6" t="s">
        <v>615</v>
      </c>
      <c r="G6" s="24" t="s">
        <v>29</v>
      </c>
    </row>
    <row r="8" spans="1:30" x14ac:dyDescent="0.2">
      <c r="C8" t="s">
        <v>669</v>
      </c>
    </row>
    <row r="10" spans="1:30" x14ac:dyDescent="0.2">
      <c r="C10" t="s">
        <v>665</v>
      </c>
      <c r="J10" s="16" t="str">
        <f>ADDRESS(ROW('MP Calculations'!$G$22),COLUMN('MP Calculations'!$G$22))</f>
        <v>$G$22</v>
      </c>
      <c r="K10" t="str">
        <f ca="1">"on the "&amp;MID(CELL("filename",'MP Calculations'!$A$1),FIND("]",CELL("filename",'MP Calculations'!$A$1))+1,255)&amp;" worksheet."</f>
        <v>on the MP Calculations worksheet.</v>
      </c>
    </row>
    <row r="12" spans="1:30" x14ac:dyDescent="0.2">
      <c r="C12" s="10" t="s">
        <v>666</v>
      </c>
    </row>
    <row r="13" spans="1:30" x14ac:dyDescent="0.2">
      <c r="D13" s="9" t="s">
        <v>670</v>
      </c>
    </row>
    <row r="14" spans="1:30" x14ac:dyDescent="0.2">
      <c r="D14" s="9" t="str">
        <f ca="1">"All calculations on the worksheet need to be converted into "&amp;'General inputs'!$H$42&amp;", $"&amp;'General inputs'!$I$40&amp;" before being linked into the "&amp;MID(CELL("filename",'MP Calculations'!$A$1),FIND("]",CELL("filename",'MP Calculations'!$A$1))+1,255)&amp;"."</f>
        <v>All calculations on the worksheet need to be converted into $, $2025-26 before being linked into the MP Calculations.</v>
      </c>
    </row>
    <row r="16" spans="1:30" x14ac:dyDescent="0.2">
      <c r="A16" s="8"/>
      <c r="B16" s="8"/>
      <c r="C16" s="8" t="s">
        <v>635</v>
      </c>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8" spans="1:12" ht="13.2" x14ac:dyDescent="0.25">
      <c r="C18" s="25" t="s">
        <v>671</v>
      </c>
      <c r="D18" s="9"/>
      <c r="H18" s="25" t="s">
        <v>672</v>
      </c>
    </row>
    <row r="20" spans="1:12" ht="13.8" thickBot="1" x14ac:dyDescent="0.3">
      <c r="C20" s="26" t="s">
        <v>107</v>
      </c>
      <c r="D20" s="27" t="s">
        <v>673</v>
      </c>
      <c r="E20" s="27" t="s">
        <v>674</v>
      </c>
      <c r="F20" s="27" t="s">
        <v>675</v>
      </c>
      <c r="G20" s="28"/>
      <c r="H20" s="26"/>
      <c r="I20" s="27" t="s">
        <v>92</v>
      </c>
      <c r="J20" s="27" t="s">
        <v>676</v>
      </c>
      <c r="K20" s="27"/>
      <c r="L20" s="29"/>
    </row>
    <row r="21" spans="1:12" s="29" customFormat="1" ht="13.2" x14ac:dyDescent="0.25">
      <c r="A21"/>
      <c r="B21"/>
      <c r="C21" s="29">
        <v>1995</v>
      </c>
      <c r="D21" s="30">
        <f>IFERROR(1-(E21/(F21)), 1)</f>
        <v>0.50473062382553102</v>
      </c>
      <c r="E21" s="31">
        <v>36186948.491101965</v>
      </c>
      <c r="F21" s="28">
        <v>73065184.79017438</v>
      </c>
      <c r="G21" s="28"/>
      <c r="H21" s="29" t="s">
        <v>677</v>
      </c>
      <c r="I21" s="32">
        <v>0</v>
      </c>
      <c r="J21" s="33">
        <v>0.90850599752846017</v>
      </c>
      <c r="L21" s="30"/>
    </row>
    <row r="22" spans="1:12" s="29" customFormat="1" ht="13.2" x14ac:dyDescent="0.25">
      <c r="A22"/>
      <c r="B22"/>
      <c r="C22" s="29">
        <v>1996</v>
      </c>
      <c r="D22" s="30">
        <f>IFERROR(1-(E22/(F22)), 1)</f>
        <v>0.1435215466043015</v>
      </c>
      <c r="E22" s="31">
        <v>4638936.6443755077</v>
      </c>
      <c r="F22" s="28">
        <v>5416291.1232424071</v>
      </c>
      <c r="G22" s="28"/>
      <c r="H22" s="29" t="s">
        <v>678</v>
      </c>
      <c r="I22" s="34">
        <v>2304.2068742359793</v>
      </c>
      <c r="L22" s="30"/>
    </row>
    <row r="23" spans="1:12" s="29" customFormat="1" ht="13.2" x14ac:dyDescent="0.25">
      <c r="A23"/>
      <c r="B23"/>
      <c r="C23" s="29">
        <v>1997</v>
      </c>
      <c r="D23" s="30">
        <f t="shared" ref="D23:D41" si="0">IFERROR(1-(E23/(F23)), 1)</f>
        <v>3.689760693565225E-2</v>
      </c>
      <c r="E23" s="31">
        <v>419087.58971095789</v>
      </c>
      <c r="F23" s="28">
        <v>435143.33754018345</v>
      </c>
      <c r="G23" s="28"/>
      <c r="H23" s="29" t="s">
        <v>679</v>
      </c>
      <c r="I23" s="35">
        <v>22880.032660510878</v>
      </c>
    </row>
    <row r="24" spans="1:12" s="29" customFormat="1" ht="13.2" x14ac:dyDescent="0.25">
      <c r="A24"/>
      <c r="B24"/>
      <c r="C24" s="29">
        <v>1998</v>
      </c>
      <c r="D24" s="30">
        <f>IFERROR(1-(E24/(F24)), 1)</f>
        <v>1</v>
      </c>
      <c r="E24" s="31">
        <v>0</v>
      </c>
      <c r="F24" s="28">
        <v>0</v>
      </c>
      <c r="G24" s="28"/>
      <c r="H24" s="29" t="s">
        <v>680</v>
      </c>
      <c r="I24" s="32">
        <v>25184.239534746859</v>
      </c>
    </row>
    <row r="25" spans="1:12" s="29" customFormat="1" ht="13.2" x14ac:dyDescent="0.25">
      <c r="A25"/>
      <c r="B25"/>
      <c r="C25" s="29">
        <v>1999</v>
      </c>
      <c r="D25" s="30">
        <f t="shared" si="0"/>
        <v>0.22197249043898348</v>
      </c>
      <c r="E25" s="31">
        <v>1518409.939640501</v>
      </c>
      <c r="F25" s="28">
        <v>1951614.7192497444</v>
      </c>
      <c r="G25" s="28"/>
      <c r="H25" s="29" t="s">
        <v>681</v>
      </c>
      <c r="I25" s="32">
        <v>20029.202291284288</v>
      </c>
    </row>
    <row r="26" spans="1:12" s="29" customFormat="1" ht="13.2" x14ac:dyDescent="0.25">
      <c r="A26"/>
      <c r="B26"/>
      <c r="C26" s="29">
        <v>2000</v>
      </c>
      <c r="D26" s="30">
        <f t="shared" si="0"/>
        <v>0.50596139574221477</v>
      </c>
      <c r="E26" s="31">
        <v>1423961.3949950892</v>
      </c>
      <c r="F26" s="28">
        <v>2882287.7052985881</v>
      </c>
      <c r="G26" s="28"/>
      <c r="J26" s="36"/>
    </row>
    <row r="27" spans="1:12" s="29" customFormat="1" ht="13.2" x14ac:dyDescent="0.25">
      <c r="A27"/>
      <c r="B27"/>
      <c r="C27" s="29">
        <v>2001</v>
      </c>
      <c r="D27" s="30">
        <f t="shared" si="0"/>
        <v>1</v>
      </c>
      <c r="E27" s="31">
        <v>0</v>
      </c>
      <c r="F27" s="28">
        <v>409584.73526226962</v>
      </c>
      <c r="G27" s="28"/>
      <c r="J27" s="30"/>
    </row>
    <row r="28" spans="1:12" s="29" customFormat="1" ht="13.2" x14ac:dyDescent="0.25">
      <c r="A28"/>
      <c r="B28"/>
      <c r="C28" s="29">
        <v>2002</v>
      </c>
      <c r="D28" s="30">
        <f t="shared" si="0"/>
        <v>1</v>
      </c>
      <c r="E28" s="31">
        <v>0</v>
      </c>
      <c r="F28" s="28">
        <v>40071793.614363536</v>
      </c>
      <c r="G28" s="28"/>
      <c r="J28" s="30"/>
    </row>
    <row r="29" spans="1:12" s="29" customFormat="1" ht="13.2" x14ac:dyDescent="0.25">
      <c r="A29"/>
      <c r="B29"/>
      <c r="C29" s="29">
        <v>2003</v>
      </c>
      <c r="D29" s="30">
        <f t="shared" si="0"/>
        <v>1</v>
      </c>
      <c r="E29" s="31">
        <v>0</v>
      </c>
      <c r="F29" s="28">
        <v>261460.84467062645</v>
      </c>
      <c r="G29" s="28"/>
    </row>
    <row r="30" spans="1:12" s="29" customFormat="1" ht="13.2" x14ac:dyDescent="0.25">
      <c r="A30"/>
      <c r="B30"/>
      <c r="C30" s="29">
        <v>2004</v>
      </c>
      <c r="D30" s="30">
        <f t="shared" si="0"/>
        <v>1</v>
      </c>
      <c r="E30" s="31">
        <v>0</v>
      </c>
      <c r="F30" s="28">
        <v>0</v>
      </c>
      <c r="G30" s="28"/>
    </row>
    <row r="31" spans="1:12" s="29" customFormat="1" ht="13.2" x14ac:dyDescent="0.25">
      <c r="A31"/>
      <c r="B31"/>
      <c r="C31" s="29">
        <v>2005</v>
      </c>
      <c r="D31" s="30">
        <f t="shared" si="0"/>
        <v>1</v>
      </c>
      <c r="E31" s="31">
        <v>0</v>
      </c>
      <c r="F31" s="28">
        <v>0</v>
      </c>
      <c r="G31" s="28"/>
    </row>
    <row r="32" spans="1:12" s="29" customFormat="1" ht="13.2" x14ac:dyDescent="0.25">
      <c r="A32"/>
      <c r="B32"/>
      <c r="C32" s="29">
        <v>2006</v>
      </c>
      <c r="D32" s="30">
        <f t="shared" si="0"/>
        <v>1</v>
      </c>
      <c r="E32" s="31">
        <v>0</v>
      </c>
      <c r="F32" s="28">
        <v>0</v>
      </c>
      <c r="G32" s="28"/>
    </row>
    <row r="33" spans="1:8" s="29" customFormat="1" ht="13.2" x14ac:dyDescent="0.25">
      <c r="A33"/>
      <c r="B33"/>
      <c r="C33" s="29">
        <v>2007</v>
      </c>
      <c r="D33" s="30">
        <f t="shared" si="0"/>
        <v>1</v>
      </c>
      <c r="E33" s="31">
        <v>0</v>
      </c>
      <c r="F33" s="28">
        <v>526719.43676365726</v>
      </c>
      <c r="G33" s="28"/>
    </row>
    <row r="34" spans="1:8" s="29" customFormat="1" ht="13.2" x14ac:dyDescent="0.25">
      <c r="A34"/>
      <c r="B34"/>
      <c r="C34" s="29">
        <v>2008</v>
      </c>
      <c r="D34" s="30">
        <f t="shared" si="0"/>
        <v>1</v>
      </c>
      <c r="E34" s="31">
        <v>0</v>
      </c>
      <c r="F34" s="28">
        <v>426045.02114330023</v>
      </c>
      <c r="G34" s="28"/>
    </row>
    <row r="35" spans="1:8" s="29" customFormat="1" ht="13.2" x14ac:dyDescent="0.25">
      <c r="A35"/>
      <c r="B35"/>
      <c r="C35" s="29">
        <v>2009</v>
      </c>
      <c r="D35" s="30">
        <f t="shared" si="0"/>
        <v>1</v>
      </c>
      <c r="E35" s="31">
        <v>0</v>
      </c>
      <c r="F35" s="28">
        <v>41762.24130245336</v>
      </c>
      <c r="G35" s="28"/>
    </row>
    <row r="36" spans="1:8" s="29" customFormat="1" ht="13.2" x14ac:dyDescent="0.25">
      <c r="A36"/>
      <c r="B36"/>
      <c r="C36" s="29">
        <v>2010</v>
      </c>
      <c r="D36" s="30">
        <f t="shared" si="0"/>
        <v>1</v>
      </c>
      <c r="E36" s="31">
        <v>0</v>
      </c>
      <c r="F36" s="28">
        <v>0</v>
      </c>
      <c r="G36" s="28"/>
    </row>
    <row r="37" spans="1:8" s="29" customFormat="1" ht="13.2" x14ac:dyDescent="0.25">
      <c r="A37"/>
      <c r="B37"/>
      <c r="C37" s="29">
        <v>2011</v>
      </c>
      <c r="D37" s="30">
        <f t="shared" si="0"/>
        <v>1</v>
      </c>
      <c r="E37" s="31">
        <v>0</v>
      </c>
      <c r="F37" s="28">
        <v>165486.70423697343</v>
      </c>
      <c r="G37" s="28"/>
      <c r="H37" s="37"/>
    </row>
    <row r="38" spans="1:8" s="29" customFormat="1" ht="13.2" x14ac:dyDescent="0.25">
      <c r="A38"/>
      <c r="B38"/>
      <c r="C38" s="29">
        <v>2012</v>
      </c>
      <c r="D38" s="30">
        <f t="shared" si="0"/>
        <v>1</v>
      </c>
      <c r="E38" s="31">
        <v>0</v>
      </c>
      <c r="F38" s="28">
        <v>0</v>
      </c>
      <c r="G38" s="28"/>
      <c r="H38" s="37"/>
    </row>
    <row r="39" spans="1:8" s="29" customFormat="1" ht="13.2" x14ac:dyDescent="0.25">
      <c r="A39"/>
      <c r="B39"/>
      <c r="C39" s="29">
        <v>2013</v>
      </c>
      <c r="D39" s="30">
        <f>IFERROR(1-(E39/(F39)), 1)</f>
        <v>1</v>
      </c>
      <c r="E39" s="31">
        <v>0</v>
      </c>
      <c r="F39" s="28">
        <v>0</v>
      </c>
      <c r="G39" s="28"/>
    </row>
    <row r="40" spans="1:8" s="29" customFormat="1" ht="13.2" x14ac:dyDescent="0.25">
      <c r="A40"/>
      <c r="B40"/>
      <c r="C40" s="29">
        <v>2014</v>
      </c>
      <c r="D40" s="30">
        <f t="shared" si="0"/>
        <v>1</v>
      </c>
      <c r="E40" s="31">
        <v>0</v>
      </c>
      <c r="F40" s="28">
        <v>0</v>
      </c>
      <c r="G40" s="28"/>
    </row>
    <row r="41" spans="1:8" s="29" customFormat="1" ht="13.2" x14ac:dyDescent="0.25">
      <c r="A41"/>
      <c r="B41"/>
      <c r="C41" s="29">
        <v>2015</v>
      </c>
      <c r="D41" s="30">
        <f t="shared" si="0"/>
        <v>0.79975470159092965</v>
      </c>
      <c r="E41" s="31">
        <v>6186.1201392814355</v>
      </c>
      <c r="F41" s="28">
        <v>30892.711032066989</v>
      </c>
      <c r="G41" s="28"/>
    </row>
    <row r="42" spans="1:8" ht="13.2" x14ac:dyDescent="0.25">
      <c r="C42" s="29">
        <v>2016</v>
      </c>
      <c r="D42" s="30">
        <f>IFERROR(1-(E42/(F42)), 1)</f>
        <v>0.12025076366707443</v>
      </c>
      <c r="E42" s="31">
        <v>32381.311350718555</v>
      </c>
      <c r="F42" s="28">
        <v>36807.433315536771</v>
      </c>
    </row>
  </sheetData>
  <sheetProtection algorithmName="SHA-512" hashValue="T7cy7pr6fcLZx8Utz07PUwZHBztexCVs+aYOw8Sxvl4/JfOBCH09WD+FSuGpn4KRthBIosXLvZxAqMrP/41gpQ==" saltValue="TYCm1wy/+cudmJjdbK0xkQ==" spinCount="100000" sheet="1" objects="1" scenarios="1"/>
  <hyperlinks>
    <hyperlink ref="G6" r:id="rId1" xr:uid="{00000000-0004-0000-0B00-000000000000}"/>
  </hyperlinks>
  <pageMargins left="0.7" right="0.7" top="0.75" bottom="0.75" header="0.3" footer="0.3"/>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C3:G32"/>
  <sheetViews>
    <sheetView showGridLines="0" workbookViewId="0">
      <selection activeCell="Q20" sqref="Q20"/>
    </sheetView>
  </sheetViews>
  <sheetFormatPr defaultRowHeight="11.4" x14ac:dyDescent="0.2"/>
  <cols>
    <col min="1" max="2" width="2.75" customWidth="1"/>
    <col min="3" max="3" width="5.75" customWidth="1"/>
  </cols>
  <sheetData>
    <row r="3" spans="3:7" ht="21" x14ac:dyDescent="0.4">
      <c r="C3" s="3" t="s">
        <v>682</v>
      </c>
    </row>
    <row r="6" spans="3:7" x14ac:dyDescent="0.2">
      <c r="C6" t="s">
        <v>615</v>
      </c>
      <c r="G6" s="15" t="s">
        <v>28</v>
      </c>
    </row>
    <row r="8" spans="3:7" ht="12" x14ac:dyDescent="0.25">
      <c r="C8" s="2" t="s">
        <v>683</v>
      </c>
      <c r="G8" s="15"/>
    </row>
    <row r="10" spans="3:7" x14ac:dyDescent="0.2">
      <c r="C10" t="s">
        <v>684</v>
      </c>
      <c r="D10" t="s">
        <v>685</v>
      </c>
    </row>
    <row r="12" spans="3:7" x14ac:dyDescent="0.2">
      <c r="C12" t="s">
        <v>686</v>
      </c>
      <c r="D12" t="s">
        <v>687</v>
      </c>
    </row>
    <row r="14" spans="3:7" x14ac:dyDescent="0.2">
      <c r="C14" t="s">
        <v>688</v>
      </c>
      <c r="D14" t="s">
        <v>689</v>
      </c>
    </row>
    <row r="16" spans="3:7" x14ac:dyDescent="0.2">
      <c r="C16" t="s">
        <v>690</v>
      </c>
      <c r="D16" t="s">
        <v>691</v>
      </c>
    </row>
    <row r="18" spans="3:4" x14ac:dyDescent="0.2">
      <c r="C18" t="s">
        <v>692</v>
      </c>
      <c r="D18" t="s">
        <v>693</v>
      </c>
    </row>
    <row r="20" spans="3:4" x14ac:dyDescent="0.2">
      <c r="C20" t="s">
        <v>694</v>
      </c>
      <c r="D20" t="s">
        <v>695</v>
      </c>
    </row>
    <row r="22" spans="3:4" x14ac:dyDescent="0.2">
      <c r="D22" t="s">
        <v>80</v>
      </c>
    </row>
    <row r="24" spans="3:4" ht="12" x14ac:dyDescent="0.25">
      <c r="C24" s="2" t="s">
        <v>696</v>
      </c>
    </row>
    <row r="26" spans="3:4" x14ac:dyDescent="0.2">
      <c r="C26" t="s">
        <v>697</v>
      </c>
    </row>
    <row r="28" spans="3:4" x14ac:dyDescent="0.2">
      <c r="C28" t="s">
        <v>698</v>
      </c>
      <c r="D28" t="s">
        <v>699</v>
      </c>
    </row>
    <row r="30" spans="3:4" x14ac:dyDescent="0.2">
      <c r="C30" t="s">
        <v>700</v>
      </c>
      <c r="D30" t="s">
        <v>701</v>
      </c>
    </row>
    <row r="32" spans="3:4" x14ac:dyDescent="0.2">
      <c r="C32" t="s">
        <v>702</v>
      </c>
      <c r="D32" t="s">
        <v>703</v>
      </c>
    </row>
  </sheetData>
  <sheetProtection algorithmName="SHA-512" hashValue="PzPMf7/Ri8+lI7cPNOYjfFiyKLvke00EBRdmtzLJBdlKI3yxB2aOM6Ag0CuxAXJQZ3LqTGnQByu2cUQtCvm+aw==" saltValue="ZAS8pXU/1pdwyBPPZyt6AQ==" spinCount="100000" sheet="1" objects="1" scenarios="1"/>
  <hyperlinks>
    <hyperlink ref="G6" r:id="rId1" xr:uid="{00000000-0004-0000-0C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C3:G23"/>
  <sheetViews>
    <sheetView showGridLines="0" workbookViewId="0">
      <selection activeCell="E8" sqref="E8"/>
    </sheetView>
  </sheetViews>
  <sheetFormatPr defaultRowHeight="11.4" x14ac:dyDescent="0.2"/>
  <cols>
    <col min="1" max="2" width="2.75" customWidth="1"/>
    <col min="3" max="5" width="40.625" customWidth="1"/>
    <col min="6" max="6" width="20.625" customWidth="1"/>
    <col min="7" max="7" width="17.625" customWidth="1"/>
  </cols>
  <sheetData>
    <row r="3" spans="3:7" ht="20.25" customHeight="1" x14ac:dyDescent="0.3">
      <c r="C3" s="1" t="s">
        <v>42</v>
      </c>
    </row>
    <row r="5" spans="3:7" ht="12" x14ac:dyDescent="0.25">
      <c r="C5" s="2" t="s">
        <v>43</v>
      </c>
      <c r="D5" s="2" t="s">
        <v>44</v>
      </c>
      <c r="E5" s="2" t="s">
        <v>45</v>
      </c>
      <c r="F5" s="2" t="s">
        <v>46</v>
      </c>
      <c r="G5" s="2" t="s">
        <v>47</v>
      </c>
    </row>
    <row r="6" spans="3:7" ht="34.200000000000003" x14ac:dyDescent="0.2">
      <c r="C6" s="19" t="s">
        <v>48</v>
      </c>
      <c r="D6" s="19" t="s">
        <v>49</v>
      </c>
      <c r="E6" s="19" t="s">
        <v>50</v>
      </c>
      <c r="F6" s="22" t="s">
        <v>51</v>
      </c>
      <c r="G6" s="23">
        <v>43678</v>
      </c>
    </row>
    <row r="7" spans="3:7" ht="22.8" x14ac:dyDescent="0.2">
      <c r="C7" s="19" t="s">
        <v>48</v>
      </c>
      <c r="D7" s="19" t="s">
        <v>52</v>
      </c>
      <c r="E7" s="19" t="s">
        <v>53</v>
      </c>
      <c r="F7" s="22" t="s">
        <v>51</v>
      </c>
      <c r="G7" s="23">
        <v>43678</v>
      </c>
    </row>
    <row r="8" spans="3:7" ht="45.6" x14ac:dyDescent="0.2">
      <c r="C8" s="21" t="s">
        <v>54</v>
      </c>
      <c r="D8" s="21" t="s">
        <v>55</v>
      </c>
      <c r="E8" s="21" t="s">
        <v>56</v>
      </c>
      <c r="F8" s="22" t="s">
        <v>51</v>
      </c>
      <c r="G8" s="23">
        <v>43678</v>
      </c>
    </row>
    <row r="9" spans="3:7" x14ac:dyDescent="0.2">
      <c r="C9" s="20"/>
      <c r="D9" s="20"/>
      <c r="E9" s="20"/>
      <c r="F9" s="22"/>
      <c r="G9" s="23"/>
    </row>
    <row r="10" spans="3:7" x14ac:dyDescent="0.2">
      <c r="C10" s="20"/>
      <c r="D10" s="20"/>
      <c r="E10" s="20"/>
      <c r="F10" s="22"/>
      <c r="G10" s="23"/>
    </row>
    <row r="11" spans="3:7" x14ac:dyDescent="0.2">
      <c r="C11" s="20"/>
      <c r="D11" s="20"/>
      <c r="E11" s="20"/>
      <c r="F11" s="22"/>
      <c r="G11" s="23"/>
    </row>
    <row r="12" spans="3:7" x14ac:dyDescent="0.2">
      <c r="C12" s="20"/>
      <c r="D12" s="20"/>
      <c r="E12" s="20"/>
      <c r="F12" s="22"/>
      <c r="G12" s="23"/>
    </row>
    <row r="13" spans="3:7" x14ac:dyDescent="0.2">
      <c r="C13" s="20"/>
      <c r="D13" s="20"/>
      <c r="E13" s="20"/>
      <c r="F13" s="22"/>
      <c r="G13" s="23"/>
    </row>
    <row r="14" spans="3:7" x14ac:dyDescent="0.2">
      <c r="C14" s="20"/>
      <c r="D14" s="20"/>
      <c r="E14" s="20"/>
      <c r="F14" s="22"/>
      <c r="G14" s="23"/>
    </row>
    <row r="15" spans="3:7" x14ac:dyDescent="0.2">
      <c r="C15" s="20"/>
      <c r="D15" s="20"/>
      <c r="E15" s="20"/>
      <c r="F15" s="22"/>
      <c r="G15" s="23"/>
    </row>
    <row r="16" spans="3:7" x14ac:dyDescent="0.2">
      <c r="C16" s="20"/>
      <c r="D16" s="20"/>
      <c r="E16" s="20"/>
      <c r="F16" s="22"/>
      <c r="G16" s="23"/>
    </row>
    <row r="17" spans="3:7" x14ac:dyDescent="0.2">
      <c r="C17" s="20"/>
      <c r="D17" s="20"/>
      <c r="E17" s="20"/>
      <c r="F17" s="22"/>
      <c r="G17" s="23"/>
    </row>
    <row r="18" spans="3:7" x14ac:dyDescent="0.2">
      <c r="C18" s="20"/>
      <c r="D18" s="20"/>
      <c r="E18" s="20"/>
      <c r="F18" s="22"/>
      <c r="G18" s="23"/>
    </row>
    <row r="19" spans="3:7" x14ac:dyDescent="0.2">
      <c r="C19" s="20"/>
      <c r="D19" s="20"/>
      <c r="E19" s="20"/>
      <c r="F19" s="22"/>
      <c r="G19" s="23"/>
    </row>
    <row r="20" spans="3:7" x14ac:dyDescent="0.2">
      <c r="C20" s="20"/>
      <c r="D20" s="20"/>
      <c r="E20" s="20"/>
      <c r="F20" s="22"/>
      <c r="G20" s="23"/>
    </row>
    <row r="21" spans="3:7" x14ac:dyDescent="0.2">
      <c r="C21" s="20"/>
      <c r="D21" s="20"/>
      <c r="E21" s="20"/>
      <c r="F21" s="22"/>
      <c r="G21" s="23"/>
    </row>
    <row r="22" spans="3:7" x14ac:dyDescent="0.2">
      <c r="C22" s="20"/>
      <c r="D22" s="20"/>
      <c r="E22" s="20"/>
      <c r="F22" s="22"/>
      <c r="G22" s="23"/>
    </row>
    <row r="23" spans="3:7" x14ac:dyDescent="0.2">
      <c r="C23" s="20"/>
      <c r="D23" s="20"/>
      <c r="E23" s="20"/>
      <c r="F23" s="22"/>
      <c r="G23" s="23"/>
    </row>
  </sheetData>
  <sheetProtection algorithmName="SHA-512" hashValue="jLso2bi8d5A4nvVII09VW23sqmGjjBvKIf2fVtIxxwxZuFXr/kCZ1mtuDKtmCAPs5e7EogY9VJu7MvKHJtd+RQ==" saltValue="8GHyeMu7aeU5tJUIMD3wq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
    <tabColor theme="7"/>
  </sheetPr>
  <dimension ref="A3:U28"/>
  <sheetViews>
    <sheetView showGridLines="0" zoomScaleNormal="100" workbookViewId="0">
      <selection activeCell="G25" sqref="G25"/>
    </sheetView>
  </sheetViews>
  <sheetFormatPr defaultRowHeight="11.4" x14ac:dyDescent="0.2"/>
  <cols>
    <col min="1" max="3" width="2.75" customWidth="1"/>
    <col min="4" max="4" width="23.875" customWidth="1"/>
    <col min="5" max="5" width="8" customWidth="1"/>
    <col min="6" max="6" width="2.75" customWidth="1"/>
    <col min="7" max="7" width="24.625" customWidth="1"/>
    <col min="9" max="9" width="18.25" customWidth="1"/>
    <col min="10" max="10" width="17.625" customWidth="1"/>
    <col min="14" max="14" width="9.875" bestFit="1" customWidth="1"/>
    <col min="16" max="16" width="8.875" customWidth="1"/>
    <col min="17" max="17" width="4.125" customWidth="1"/>
    <col min="20" max="20" width="14.875" customWidth="1"/>
  </cols>
  <sheetData>
    <row r="3" spans="1:21" ht="21" x14ac:dyDescent="0.4">
      <c r="C3" s="38" t="s">
        <v>57</v>
      </c>
      <c r="D3" s="39"/>
      <c r="E3" s="39"/>
      <c r="F3" s="39"/>
      <c r="G3" s="39"/>
      <c r="H3" s="39"/>
      <c r="I3" s="39"/>
      <c r="J3" s="39"/>
      <c r="K3" s="39"/>
      <c r="L3" s="39"/>
      <c r="M3" s="39"/>
      <c r="N3" s="39"/>
      <c r="O3" s="39"/>
      <c r="P3" s="39"/>
      <c r="Q3" s="39"/>
      <c r="R3" s="39"/>
      <c r="S3" s="39"/>
      <c r="T3" s="39"/>
      <c r="U3" s="39"/>
    </row>
    <row r="4" spans="1:21" x14ac:dyDescent="0.2">
      <c r="C4" s="39"/>
      <c r="D4" s="39"/>
      <c r="E4" s="39"/>
      <c r="F4" s="39"/>
      <c r="G4" s="39"/>
      <c r="H4" s="39"/>
      <c r="I4" s="39"/>
      <c r="J4" s="39"/>
      <c r="K4" s="39"/>
      <c r="L4" s="39"/>
      <c r="M4" s="39"/>
      <c r="N4" s="39"/>
      <c r="O4" s="39"/>
      <c r="P4" s="39"/>
      <c r="Q4" s="40"/>
      <c r="R4" s="39"/>
      <c r="S4" s="39"/>
      <c r="T4" s="39"/>
      <c r="U4" s="39"/>
    </row>
    <row r="5" spans="1:21" x14ac:dyDescent="0.2">
      <c r="C5" s="39"/>
      <c r="D5" s="39"/>
      <c r="E5" s="39"/>
      <c r="F5" s="39"/>
      <c r="G5" s="39"/>
      <c r="H5" s="39"/>
      <c r="I5" s="39"/>
      <c r="J5" s="39"/>
      <c r="K5" s="39"/>
      <c r="L5" s="39"/>
      <c r="M5" s="39"/>
      <c r="N5" s="39"/>
      <c r="O5" s="39"/>
      <c r="P5" s="39"/>
      <c r="Q5" s="39"/>
      <c r="R5" s="39"/>
      <c r="S5" s="39"/>
      <c r="T5" s="39"/>
      <c r="U5" s="39"/>
    </row>
    <row r="6" spans="1:21" ht="12" x14ac:dyDescent="0.25">
      <c r="C6" s="39"/>
      <c r="D6" s="41" t="str">
        <f>"The maximum price for the new development area '"&amp;'General inputs'!H7&amp;"' is:"</f>
        <v>The maximum price for the new development area 'Rouse Hill Stormwater' is:</v>
      </c>
      <c r="E6" s="39"/>
      <c r="F6" s="39"/>
      <c r="G6" s="39"/>
      <c r="H6" s="39"/>
      <c r="I6" s="39"/>
      <c r="J6" s="42">
        <f>G19</f>
        <v>20821.03646963089</v>
      </c>
      <c r="K6" s="39" t="str">
        <f>"per ET ($"&amp;'General inputs'!$I$40&amp;")."</f>
        <v>per ET ($2025-26).</v>
      </c>
      <c r="L6" s="39"/>
      <c r="M6" s="39"/>
      <c r="N6" s="39"/>
      <c r="O6" s="39"/>
      <c r="P6" s="39"/>
      <c r="Q6" s="39"/>
      <c r="R6" s="39"/>
      <c r="S6" s="39"/>
      <c r="T6" s="39"/>
      <c r="U6" s="39"/>
    </row>
    <row r="7" spans="1:21" x14ac:dyDescent="0.2">
      <c r="C7" s="39"/>
      <c r="D7" s="41"/>
      <c r="E7" s="39"/>
      <c r="F7" s="39"/>
      <c r="G7" s="39"/>
      <c r="H7" s="39"/>
      <c r="I7" s="39"/>
      <c r="J7" s="39"/>
      <c r="K7" s="39"/>
      <c r="L7" s="39"/>
      <c r="M7" s="39"/>
      <c r="N7" s="39"/>
      <c r="O7" s="39"/>
      <c r="P7" s="39"/>
      <c r="Q7" s="39"/>
      <c r="R7" s="39"/>
      <c r="S7" s="39"/>
      <c r="T7" s="39"/>
      <c r="U7" s="39"/>
    </row>
    <row r="8" spans="1:21" x14ac:dyDescent="0.2">
      <c r="C8" s="39"/>
      <c r="D8" s="41"/>
      <c r="E8" s="39"/>
      <c r="F8" s="39"/>
      <c r="G8" s="39"/>
      <c r="H8" s="39"/>
      <c r="I8" s="39"/>
      <c r="J8" s="39"/>
      <c r="K8" s="39"/>
      <c r="L8" s="39"/>
      <c r="M8" s="39"/>
      <c r="N8" s="39"/>
      <c r="O8" s="39"/>
      <c r="P8" s="39"/>
      <c r="Q8" s="39"/>
      <c r="R8" s="39"/>
      <c r="S8" s="39"/>
      <c r="T8" s="39"/>
      <c r="U8" s="39"/>
    </row>
    <row r="9" spans="1:21" x14ac:dyDescent="0.2">
      <c r="C9" s="39"/>
      <c r="D9" s="39"/>
      <c r="E9" s="39"/>
      <c r="F9" s="39"/>
      <c r="G9" s="39"/>
      <c r="H9" s="39"/>
      <c r="I9" s="39"/>
      <c r="J9" s="44"/>
      <c r="K9" s="44"/>
      <c r="L9" s="44"/>
      <c r="M9" s="39"/>
      <c r="N9" s="39"/>
      <c r="O9" s="39"/>
      <c r="P9" s="39"/>
      <c r="Q9" s="39"/>
      <c r="R9" s="39"/>
      <c r="S9" s="39"/>
      <c r="T9" s="39"/>
      <c r="U9" s="39"/>
    </row>
    <row r="10" spans="1:21" ht="12" x14ac:dyDescent="0.25">
      <c r="A10" s="12"/>
      <c r="B10" s="12"/>
      <c r="C10" s="41"/>
      <c r="D10" s="45" t="s">
        <v>58</v>
      </c>
      <c r="E10" s="41"/>
      <c r="F10" s="41"/>
      <c r="G10" s="41"/>
      <c r="H10" s="41"/>
      <c r="I10" s="39"/>
      <c r="J10" s="46">
        <f>IF($J$6&lt;=0,0,IF('General inputs'!$H$42='General inputs'!$L$37,'MP Calculations'!F22,IF('General inputs'!$H$42='General inputs'!$L$38,'MP Calculations'!F22*1000,'MP Calculations'!F22*1000000)))</f>
        <v>0</v>
      </c>
      <c r="K10" s="41" t="s">
        <v>59</v>
      </c>
      <c r="L10" s="41"/>
      <c r="M10" s="41"/>
      <c r="N10" s="39"/>
      <c r="O10" s="39"/>
      <c r="P10" s="39"/>
      <c r="Q10" s="39"/>
      <c r="R10" s="39"/>
      <c r="S10" s="39"/>
      <c r="T10" s="39"/>
      <c r="U10" s="39"/>
    </row>
    <row r="11" spans="1:21" x14ac:dyDescent="0.2">
      <c r="C11" s="39"/>
      <c r="D11" s="39"/>
      <c r="E11" s="39"/>
      <c r="F11" s="39"/>
      <c r="G11" s="39"/>
      <c r="H11" s="39"/>
      <c r="I11" s="39"/>
      <c r="J11" s="39"/>
      <c r="K11" s="39"/>
      <c r="L11" s="39"/>
      <c r="M11" s="39"/>
      <c r="N11" s="39"/>
      <c r="O11" s="39"/>
      <c r="P11" s="39"/>
      <c r="Q11" s="39"/>
      <c r="R11" s="39"/>
      <c r="S11" s="39"/>
      <c r="T11" s="39"/>
      <c r="U11" s="39"/>
    </row>
    <row r="12" spans="1:21" x14ac:dyDescent="0.2">
      <c r="C12" s="39"/>
      <c r="D12" s="39"/>
      <c r="E12" s="39"/>
      <c r="F12" s="39"/>
      <c r="G12" s="41"/>
      <c r="H12" s="39"/>
      <c r="I12" s="39"/>
      <c r="J12" s="39"/>
      <c r="K12" s="39"/>
      <c r="L12" s="39"/>
      <c r="M12" s="39"/>
      <c r="N12" s="39"/>
      <c r="O12" s="39"/>
      <c r="P12" s="39"/>
      <c r="Q12" s="39"/>
      <c r="R12" s="39"/>
      <c r="S12" s="39"/>
      <c r="T12" s="39"/>
      <c r="U12" s="39"/>
    </row>
    <row r="13" spans="1:21" x14ac:dyDescent="0.2">
      <c r="C13" s="39"/>
      <c r="D13" s="45" t="s">
        <v>60</v>
      </c>
      <c r="E13" s="39"/>
      <c r="F13" s="39"/>
      <c r="G13" s="41"/>
      <c r="H13" s="39"/>
      <c r="I13" s="39"/>
      <c r="J13" s="39"/>
      <c r="K13" s="39"/>
      <c r="L13" s="39"/>
      <c r="M13" s="39"/>
      <c r="N13" s="39"/>
      <c r="O13" s="39"/>
      <c r="P13" s="39"/>
      <c r="Q13" s="39"/>
      <c r="R13" s="39"/>
      <c r="S13" s="39"/>
      <c r="T13" s="39"/>
      <c r="U13" s="39"/>
    </row>
    <row r="14" spans="1:21" x14ac:dyDescent="0.2">
      <c r="C14" s="39"/>
      <c r="D14" s="39"/>
      <c r="E14" s="39"/>
      <c r="F14" s="39"/>
      <c r="G14" s="41"/>
      <c r="H14" s="39"/>
      <c r="I14" s="39"/>
      <c r="J14" s="39"/>
      <c r="K14" s="39"/>
      <c r="L14" s="39"/>
      <c r="M14" s="39"/>
      <c r="N14" s="39"/>
      <c r="O14" s="39"/>
      <c r="P14" s="39"/>
      <c r="Q14" s="39"/>
      <c r="R14" s="39"/>
      <c r="S14" s="39"/>
      <c r="T14" s="39"/>
      <c r="U14" s="39"/>
    </row>
    <row r="15" spans="1:21" x14ac:dyDescent="0.2">
      <c r="C15" s="39"/>
      <c r="D15" s="39"/>
      <c r="E15" s="39"/>
      <c r="F15" s="39"/>
      <c r="G15" s="41"/>
      <c r="H15" s="39"/>
      <c r="I15" s="39"/>
      <c r="J15" s="39"/>
      <c r="K15" s="39"/>
      <c r="L15" s="39"/>
      <c r="M15" s="39"/>
      <c r="N15" s="39"/>
      <c r="O15" s="39"/>
      <c r="P15" s="39"/>
      <c r="Q15" s="39"/>
      <c r="R15" s="39"/>
      <c r="S15" s="39"/>
      <c r="T15" s="39"/>
      <c r="U15" s="39"/>
    </row>
    <row r="16" spans="1:21" x14ac:dyDescent="0.2">
      <c r="C16" s="39"/>
      <c r="D16" s="39"/>
      <c r="E16" s="39"/>
      <c r="F16" s="39"/>
      <c r="G16" s="39"/>
      <c r="H16" s="39"/>
      <c r="I16" s="39"/>
      <c r="J16" s="39"/>
      <c r="K16" s="39"/>
      <c r="L16" s="39"/>
      <c r="M16" s="39"/>
      <c r="N16" s="39"/>
      <c r="O16" s="39"/>
      <c r="P16" s="39"/>
      <c r="Q16" s="39"/>
      <c r="R16" s="39"/>
      <c r="S16" s="39"/>
      <c r="T16" s="39"/>
      <c r="U16" s="39"/>
    </row>
    <row r="17" spans="3:21" x14ac:dyDescent="0.2">
      <c r="C17" s="39"/>
      <c r="D17" s="39" t="str">
        <f>"in $, $"&amp;'General inputs'!$I$40&amp;", where:"</f>
        <v>in $, $2025-26, where:</v>
      </c>
      <c r="E17" s="39"/>
      <c r="F17" s="39"/>
      <c r="G17" s="39"/>
      <c r="H17" s="39"/>
      <c r="I17" s="39"/>
      <c r="J17" s="39"/>
      <c r="K17" s="39"/>
      <c r="L17" s="39"/>
      <c r="M17" s="39"/>
      <c r="N17" s="39"/>
      <c r="O17" s="39"/>
      <c r="P17" s="39"/>
      <c r="Q17" s="39"/>
      <c r="R17" s="39"/>
      <c r="S17" s="39"/>
      <c r="T17" s="39"/>
      <c r="U17" s="39"/>
    </row>
    <row r="18" spans="3:21" x14ac:dyDescent="0.2">
      <c r="C18" s="39"/>
      <c r="D18" s="39"/>
      <c r="E18" s="39"/>
      <c r="F18" s="39"/>
      <c r="G18" s="39"/>
      <c r="H18" s="39"/>
      <c r="I18" s="39"/>
      <c r="J18" s="39"/>
      <c r="K18" s="39"/>
      <c r="L18" s="39"/>
      <c r="M18" s="39"/>
      <c r="N18" s="39"/>
      <c r="O18" s="39"/>
      <c r="P18" s="39"/>
      <c r="Q18" s="39"/>
      <c r="R18" s="39"/>
      <c r="S18" s="39"/>
      <c r="T18" s="39"/>
      <c r="U18" s="39"/>
    </row>
    <row r="19" spans="3:21" x14ac:dyDescent="0.2">
      <c r="C19" s="39"/>
      <c r="D19" s="39"/>
      <c r="E19" s="39" t="s">
        <v>61</v>
      </c>
      <c r="F19" s="47" t="s">
        <v>62</v>
      </c>
      <c r="G19" s="43">
        <f>IF('General inputs'!$H$42='General inputs'!$L$37,'MP Calculations'!C22,IF('General inputs'!$H$42='General inputs'!$L$38,'MP Calculations'!C22*1000,'MP Calculations'!C22*1000000))</f>
        <v>20821.03646963089</v>
      </c>
      <c r="H19" s="47" t="s">
        <v>62</v>
      </c>
      <c r="I19" s="48" t="s">
        <v>63</v>
      </c>
      <c r="J19" s="41"/>
      <c r="K19" s="41"/>
      <c r="L19" s="41"/>
      <c r="M19" s="41"/>
      <c r="N19" s="41"/>
      <c r="O19" s="41"/>
      <c r="P19" s="41"/>
      <c r="Q19" s="41"/>
      <c r="R19" s="41"/>
      <c r="S19" s="41"/>
      <c r="T19" s="41"/>
      <c r="U19" s="41"/>
    </row>
    <row r="20" spans="3:21" ht="15" x14ac:dyDescent="0.35">
      <c r="C20" s="39"/>
      <c r="D20" s="39"/>
      <c r="E20" s="39" t="s">
        <v>64</v>
      </c>
      <c r="F20" s="47" t="s">
        <v>62</v>
      </c>
      <c r="G20" s="43">
        <f>IF('General inputs'!$H$42='General inputs'!$L$37,'MP Calculations'!H20,IF('General inputs'!$H$42='General inputs'!$L$38,'MP Calculations'!H20*1000,'MP Calculations'!H20*1000000))</f>
        <v>205414086.36164755</v>
      </c>
      <c r="H20" s="47" t="s">
        <v>62</v>
      </c>
      <c r="I20" s="41" t="s">
        <v>65</v>
      </c>
      <c r="J20" s="41"/>
      <c r="K20" s="41"/>
      <c r="L20" s="41"/>
      <c r="M20" s="41"/>
      <c r="N20" s="41"/>
      <c r="O20" s="41"/>
      <c r="P20" s="41"/>
      <c r="Q20" s="41"/>
      <c r="R20" s="41"/>
      <c r="S20" s="41"/>
      <c r="T20" s="41"/>
      <c r="U20" s="41"/>
    </row>
    <row r="21" spans="3:21" ht="15" x14ac:dyDescent="0.35">
      <c r="C21" s="39"/>
      <c r="D21" s="39"/>
      <c r="E21" s="39" t="s">
        <v>66</v>
      </c>
      <c r="F21" s="47" t="s">
        <v>62</v>
      </c>
      <c r="G21" s="43">
        <f>IF('General inputs'!$H$42='General inputs'!$L$37,SUM('MP Calculations'!I20:K20),IF('General inputs'!$H$42='General inputs'!$L$38,SUM('MP Calculations'!I20:K20)*1000,SUM('MP Calculations'!I20:K20)*1000000))</f>
        <v>905729453.2200141</v>
      </c>
      <c r="H21" s="47" t="s">
        <v>62</v>
      </c>
      <c r="I21" s="41" t="s">
        <v>67</v>
      </c>
      <c r="J21" s="41"/>
      <c r="K21" s="41"/>
      <c r="L21" s="41"/>
      <c r="M21" s="41"/>
      <c r="N21" s="41"/>
      <c r="O21" s="41"/>
      <c r="P21" s="41"/>
      <c r="Q21" s="41"/>
      <c r="R21" s="41"/>
      <c r="S21" s="41"/>
      <c r="T21" s="41"/>
      <c r="U21" s="41"/>
    </row>
    <row r="22" spans="3:21" ht="15" x14ac:dyDescent="0.35">
      <c r="C22" s="39"/>
      <c r="D22" s="39"/>
      <c r="E22" s="39" t="s">
        <v>68</v>
      </c>
      <c r="F22" s="47" t="s">
        <v>62</v>
      </c>
      <c r="G22" s="49">
        <f>'MP Calculations'!H21</f>
        <v>36891.691863419837</v>
      </c>
      <c r="H22" s="47" t="s">
        <v>62</v>
      </c>
      <c r="I22" s="50" t="s">
        <v>69</v>
      </c>
      <c r="J22" s="51"/>
      <c r="K22" s="51"/>
      <c r="L22" s="51"/>
      <c r="M22" s="51"/>
      <c r="N22" s="51"/>
      <c r="O22" s="51"/>
      <c r="P22" s="51"/>
      <c r="Q22" s="51"/>
      <c r="R22" s="51"/>
      <c r="S22" s="51"/>
      <c r="T22" s="51"/>
      <c r="U22" s="51"/>
    </row>
    <row r="23" spans="3:21" ht="15" x14ac:dyDescent="0.35">
      <c r="C23" s="39"/>
      <c r="D23" s="39"/>
      <c r="E23" s="39" t="s">
        <v>70</v>
      </c>
      <c r="F23" s="47" t="s">
        <v>62</v>
      </c>
      <c r="G23" s="49">
        <f>'MP Calculations'!J21</f>
        <v>44674.383761392688</v>
      </c>
      <c r="H23" s="47" t="s">
        <v>62</v>
      </c>
      <c r="I23" s="50" t="s">
        <v>71</v>
      </c>
      <c r="J23" s="51"/>
      <c r="K23" s="51"/>
      <c r="L23" s="51"/>
      <c r="M23" s="51"/>
      <c r="N23" s="51"/>
      <c r="O23" s="51"/>
      <c r="P23" s="51"/>
      <c r="Q23" s="51"/>
      <c r="R23" s="51"/>
      <c r="S23" s="51"/>
      <c r="T23" s="51"/>
      <c r="U23" s="51"/>
    </row>
    <row r="24" spans="3:21" ht="15" x14ac:dyDescent="0.35">
      <c r="C24" s="39"/>
      <c r="D24" s="39"/>
      <c r="E24" s="39" t="s">
        <v>72</v>
      </c>
      <c r="F24" s="47" t="s">
        <v>62</v>
      </c>
      <c r="G24" s="49">
        <f>'MP Calculations'!L21</f>
        <v>2202.451557420698</v>
      </c>
      <c r="H24" s="47" t="s">
        <v>62</v>
      </c>
      <c r="I24" s="50" t="s">
        <v>73</v>
      </c>
      <c r="J24" s="51"/>
      <c r="K24" s="51"/>
      <c r="L24" s="51"/>
      <c r="M24" s="51"/>
      <c r="N24" s="51"/>
      <c r="O24" s="51"/>
      <c r="P24" s="51"/>
      <c r="Q24" s="51"/>
      <c r="R24" s="51"/>
      <c r="S24" s="51"/>
      <c r="T24" s="51"/>
      <c r="U24" s="51"/>
    </row>
    <row r="25" spans="3:21" ht="15" x14ac:dyDescent="0.35">
      <c r="C25" s="39"/>
      <c r="D25" s="39"/>
      <c r="E25" s="39" t="s">
        <v>74</v>
      </c>
      <c r="F25" s="47" t="s">
        <v>62</v>
      </c>
      <c r="G25" s="43">
        <f>'MP Calculations'!R29</f>
        <v>18845956.722768325</v>
      </c>
      <c r="H25" s="47" t="s">
        <v>62</v>
      </c>
      <c r="I25" s="41" t="s">
        <v>75</v>
      </c>
      <c r="J25" s="41"/>
      <c r="K25" s="41"/>
      <c r="L25" s="41"/>
      <c r="M25" s="41"/>
      <c r="N25" s="41"/>
      <c r="O25" s="41"/>
      <c r="P25" s="41"/>
      <c r="Q25" s="41"/>
      <c r="R25" s="41"/>
      <c r="S25" s="41"/>
      <c r="T25" s="41"/>
      <c r="U25" s="41"/>
    </row>
    <row r="26" spans="3:21" ht="15" x14ac:dyDescent="0.35">
      <c r="C26" s="39"/>
      <c r="D26" s="39"/>
      <c r="E26" s="39" t="s">
        <v>76</v>
      </c>
      <c r="F26" s="47" t="s">
        <v>62</v>
      </c>
      <c r="G26" s="43">
        <f>'MP Calculations'!U29</f>
        <v>7787410.2104744473</v>
      </c>
      <c r="H26" s="47" t="s">
        <v>62</v>
      </c>
      <c r="I26" s="41" t="s">
        <v>77</v>
      </c>
      <c r="J26" s="41"/>
      <c r="K26" s="41"/>
      <c r="L26" s="41"/>
      <c r="M26" s="41"/>
      <c r="N26" s="41"/>
      <c r="O26" s="41"/>
      <c r="P26" s="41"/>
      <c r="Q26" s="41"/>
      <c r="R26" s="41"/>
      <c r="S26" s="41"/>
      <c r="T26" s="41"/>
      <c r="U26" s="41"/>
    </row>
    <row r="27" spans="3:21" x14ac:dyDescent="0.2">
      <c r="C27" s="39"/>
      <c r="D27" s="39"/>
      <c r="E27" s="39" t="s">
        <v>78</v>
      </c>
      <c r="F27" s="47" t="s">
        <v>62</v>
      </c>
      <c r="G27" s="52" t="str">
        <f>INDEX('MP Calculations'!$D$39:$D$129,MATCH('General inputs'!$H$38-1,'MP Calculations'!C39:C129))</f>
        <v>2054-55</v>
      </c>
      <c r="H27" s="47" t="s">
        <v>62</v>
      </c>
      <c r="I27" s="41" t="s">
        <v>79</v>
      </c>
      <c r="J27" s="41"/>
      <c r="K27" s="41"/>
      <c r="L27" s="41"/>
      <c r="M27" s="41"/>
      <c r="N27" s="41"/>
      <c r="O27" s="41"/>
      <c r="P27" s="41"/>
      <c r="Q27" s="41"/>
      <c r="R27" s="41"/>
      <c r="S27" s="41"/>
      <c r="T27" s="41"/>
      <c r="U27" s="41"/>
    </row>
    <row r="28" spans="3:21" x14ac:dyDescent="0.2">
      <c r="G28" s="14"/>
    </row>
  </sheetData>
  <sheetProtection algorithmName="SHA-512" hashValue="zM6epERJXPV2NigoeSpK4eBMPBaBNyZyeTdtsiiKm9EyXYbfhFWztqZO11mFfQ3JsdXakP/Hrrm796nBYs+a5A==" saltValue="fd2igM1zRqRAbjtt+5vlkw==" spinCount="100000" sheet="1" objects="1" scenarios="1"/>
  <pageMargins left="0.7" right="0.7" top="0.75" bottom="0.75" header="0.3" footer="0.3"/>
  <pageSetup paperSize="9" orientation="portrait" horizontalDpi="200" verticalDpi="2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2">
    <tabColor theme="7"/>
  </sheetPr>
  <dimension ref="A1:AA130"/>
  <sheetViews>
    <sheetView showGridLines="0" zoomScale="70" zoomScaleNormal="70" workbookViewId="0">
      <selection activeCell="K24" sqref="K24"/>
    </sheetView>
  </sheetViews>
  <sheetFormatPr defaultRowHeight="11.4" x14ac:dyDescent="0.2"/>
  <cols>
    <col min="1" max="2" width="2.75" style="39" customWidth="1"/>
    <col min="3" max="3" width="20.125" style="39" customWidth="1"/>
    <col min="4" max="4" width="21.625" style="39" customWidth="1"/>
    <col min="5" max="5" width="28.25" style="39" customWidth="1"/>
    <col min="6" max="8" width="15.75" style="39" customWidth="1"/>
    <col min="9" max="9" width="2.75" style="39" customWidth="1"/>
    <col min="10" max="13" width="15.75" style="39" customWidth="1"/>
    <col min="14" max="14" width="14.875" style="39" customWidth="1"/>
    <col min="15" max="15" width="15.75" style="39" customWidth="1"/>
    <col min="16" max="16" width="2.75" style="39" customWidth="1"/>
    <col min="17" max="18" width="15.75" style="39" customWidth="1"/>
    <col min="19" max="19" width="2.75" style="39" customWidth="1"/>
    <col min="20" max="21" width="15.75" style="39" customWidth="1"/>
    <col min="22" max="22" width="2.75" style="39" customWidth="1"/>
    <col min="23" max="23" width="15.75" style="39" customWidth="1"/>
    <col min="24" max="16384" width="9" style="39"/>
  </cols>
  <sheetData>
    <row r="1" spans="1:11" x14ac:dyDescent="0.2">
      <c r="A1" s="39" t="s">
        <v>80</v>
      </c>
    </row>
    <row r="3" spans="1:11" ht="21" x14ac:dyDescent="0.4">
      <c r="C3" s="54" t="s">
        <v>81</v>
      </c>
    </row>
    <row r="6" spans="1:11" ht="15.6" x14ac:dyDescent="0.3">
      <c r="C6" s="55" t="s">
        <v>82</v>
      </c>
      <c r="E6" s="56"/>
    </row>
    <row r="7" spans="1:11" x14ac:dyDescent="0.2">
      <c r="B7" s="57"/>
      <c r="C7" s="58"/>
      <c r="D7" s="58"/>
      <c r="E7" s="58"/>
      <c r="F7" s="58"/>
      <c r="G7" s="58"/>
      <c r="H7" s="58"/>
      <c r="I7" s="58"/>
      <c r="J7" s="58"/>
      <c r="K7" s="59"/>
    </row>
    <row r="8" spans="1:11" x14ac:dyDescent="0.2">
      <c r="B8" s="60"/>
      <c r="J8" s="52" t="s">
        <v>83</v>
      </c>
      <c r="K8" s="61"/>
    </row>
    <row r="9" spans="1:11" x14ac:dyDescent="0.2">
      <c r="A9" s="4">
        <v>1</v>
      </c>
      <c r="B9" s="60"/>
      <c r="C9" s="39" t="str">
        <f>"Table "&amp;A9&amp;":  Calculation of maximum price ("&amp;'General inputs'!H42&amp;", $"&amp;'General inputs'!I40&amp;")"</f>
        <v>Table 1:  Calculation of maximum price ($, $2025-26)</v>
      </c>
      <c r="J9" s="39">
        <f>ROW(C17)</f>
        <v>17</v>
      </c>
      <c r="K9" s="61"/>
    </row>
    <row r="10" spans="1:11" x14ac:dyDescent="0.2">
      <c r="A10" s="62">
        <f>A9+1</f>
        <v>2</v>
      </c>
      <c r="B10" s="60"/>
      <c r="C10" s="39" t="str">
        <f>"Table "&amp;A10&amp;":  Key variables used in maximum price calculation ("&amp;'General inputs'!H42&amp;", $"&amp;'General inputs'!I40&amp;")"</f>
        <v>Table 2:  Key variables used in maximum price calculation ($, $2025-26)</v>
      </c>
      <c r="J10" s="39">
        <f>ROW(C26)</f>
        <v>26</v>
      </c>
      <c r="K10" s="61"/>
    </row>
    <row r="11" spans="1:11" x14ac:dyDescent="0.2">
      <c r="A11" s="62">
        <f>A10+1</f>
        <v>3</v>
      </c>
      <c r="B11" s="60"/>
      <c r="C11" s="39" t="str">
        <f>"Table "&amp;A11&amp;":  Annual calculation over analysis horizon ("&amp;'General inputs'!H42&amp;", $"&amp;'General inputs'!I40&amp;")"</f>
        <v>Table 3:  Annual calculation over analysis horizon ($, $2025-26)</v>
      </c>
      <c r="J11" s="39">
        <f>ROW(C35)</f>
        <v>35</v>
      </c>
      <c r="K11" s="61"/>
    </row>
    <row r="12" spans="1:11" x14ac:dyDescent="0.2">
      <c r="B12" s="63"/>
      <c r="C12" s="56"/>
      <c r="D12" s="56"/>
      <c r="E12" s="56"/>
      <c r="F12" s="56"/>
      <c r="G12" s="56"/>
      <c r="H12" s="56"/>
      <c r="I12" s="56"/>
      <c r="J12" s="56"/>
      <c r="K12" s="64"/>
    </row>
    <row r="13" spans="1:11" x14ac:dyDescent="0.2">
      <c r="E13" s="58"/>
    </row>
    <row r="14" spans="1:11" ht="12" x14ac:dyDescent="0.25">
      <c r="B14" s="65" t="str">
        <f>"Note:  an input is required in "&amp;ADDRESS(ROW($G$22),COLUMN($G$22))&amp;" to incorporate the Headwork costs per ET into the maximum price."</f>
        <v>Note:  an input is required in $G$22 to incorporate the Headwork costs per ET into the maximum price.</v>
      </c>
      <c r="H14" s="39" t="s">
        <v>80</v>
      </c>
    </row>
    <row r="15" spans="1:11" ht="12" x14ac:dyDescent="0.25">
      <c r="B15" s="65" t="str">
        <f>"Note:  an input is required in "&amp;ADDRESS(ROW($F$22),COLUMN($F$22))&amp;" to incorporate the Scheme cost allocation per ET into the maximum price."</f>
        <v>Note:  an input is required in $F$22 to incorporate the Scheme cost allocation per ET into the maximum price.</v>
      </c>
    </row>
    <row r="17" spans="2:22" ht="17.399999999999999" x14ac:dyDescent="0.3">
      <c r="C17" s="66" t="str">
        <f>C9</f>
        <v>Table 1:  Calculation of maximum price ($, $2025-26)</v>
      </c>
      <c r="E17" s="56"/>
    </row>
    <row r="18" spans="2:22" x14ac:dyDescent="0.2">
      <c r="B18" s="57"/>
      <c r="C18" s="67"/>
      <c r="D18" s="68"/>
      <c r="E18" s="68"/>
      <c r="F18" s="67"/>
      <c r="G18" s="67"/>
      <c r="H18" s="67"/>
      <c r="I18" s="68"/>
      <c r="J18" s="67"/>
      <c r="K18" s="67"/>
      <c r="L18" s="58"/>
      <c r="M18" s="59"/>
    </row>
    <row r="19" spans="2:22" ht="48" x14ac:dyDescent="0.25">
      <c r="B19" s="60"/>
      <c r="C19" s="69" t="s">
        <v>84</v>
      </c>
      <c r="F19" s="70" t="s">
        <v>85</v>
      </c>
      <c r="G19" s="70" t="s">
        <v>86</v>
      </c>
      <c r="H19" s="71" t="s">
        <v>87</v>
      </c>
      <c r="I19" s="72"/>
      <c r="J19" s="71" t="s">
        <v>88</v>
      </c>
      <c r="K19" s="71" t="s">
        <v>89</v>
      </c>
      <c r="L19" s="71" t="s">
        <v>90</v>
      </c>
      <c r="M19" s="61"/>
    </row>
    <row r="20" spans="2:22" ht="12" x14ac:dyDescent="0.25">
      <c r="B20" s="60"/>
      <c r="E20" s="73" t="s">
        <v>91</v>
      </c>
      <c r="H20" s="74">
        <f>K29</f>
        <v>205414086.36164755</v>
      </c>
      <c r="I20" s="75"/>
      <c r="J20" s="76">
        <f>M29</f>
        <v>784772219.20204616</v>
      </c>
      <c r="K20" s="76">
        <f>O29</f>
        <v>120957234.01796791</v>
      </c>
      <c r="L20" s="74">
        <f>R29-U29</f>
        <v>11058546.512293879</v>
      </c>
      <c r="M20" s="61"/>
    </row>
    <row r="21" spans="2:22" ht="12" x14ac:dyDescent="0.25">
      <c r="B21" s="60"/>
      <c r="E21" s="73" t="s">
        <v>92</v>
      </c>
      <c r="F21" s="56"/>
      <c r="H21" s="74">
        <f>F29</f>
        <v>36891.691863419837</v>
      </c>
      <c r="I21" s="75"/>
      <c r="J21" s="76">
        <f>G29</f>
        <v>44674.383761392688</v>
      </c>
      <c r="K21" s="76">
        <f>G29</f>
        <v>44674.383761392688</v>
      </c>
      <c r="L21" s="74">
        <f>H29</f>
        <v>2202.451557420698</v>
      </c>
      <c r="M21" s="61"/>
    </row>
    <row r="22" spans="2:22" ht="12" customHeight="1" x14ac:dyDescent="0.25">
      <c r="B22" s="60"/>
      <c r="C22" s="77">
        <f>IF(SUM(F22:K22,-L22)&lt;0,0,SUM(F22:K22,-L22))</f>
        <v>20821.03646963089</v>
      </c>
      <c r="E22" s="73" t="s">
        <v>93</v>
      </c>
      <c r="F22" s="53">
        <v>0</v>
      </c>
      <c r="G22" s="53">
        <v>0</v>
      </c>
      <c r="H22" s="78">
        <f>H20/H21</f>
        <v>5568.031065697126</v>
      </c>
      <c r="I22" s="79"/>
      <c r="J22" s="80">
        <f>J20/J21</f>
        <v>17566.492319033201</v>
      </c>
      <c r="K22" s="80">
        <f>K20/K21</f>
        <v>2707.5299944595622</v>
      </c>
      <c r="L22" s="78">
        <f>L20/L21</f>
        <v>5021.0169095589999</v>
      </c>
      <c r="M22" s="61"/>
    </row>
    <row r="23" spans="2:22" ht="12" x14ac:dyDescent="0.25">
      <c r="B23" s="63"/>
      <c r="C23" s="81"/>
      <c r="D23" s="56"/>
      <c r="E23" s="56"/>
      <c r="F23" s="56"/>
      <c r="G23" s="56"/>
      <c r="H23" s="56"/>
      <c r="I23" s="56"/>
      <c r="J23" s="56"/>
      <c r="K23" s="56"/>
      <c r="L23" s="56"/>
      <c r="M23" s="64"/>
    </row>
    <row r="24" spans="2:22" x14ac:dyDescent="0.2">
      <c r="E24" s="58"/>
      <c r="L24" s="82"/>
    </row>
    <row r="25" spans="2:22" x14ac:dyDescent="0.2">
      <c r="C25" s="83"/>
      <c r="D25" s="84"/>
      <c r="L25" s="82"/>
    </row>
    <row r="26" spans="2:22" ht="17.399999999999999" x14ac:dyDescent="0.3">
      <c r="C26" s="66" t="str">
        <f>C10</f>
        <v>Table 2:  Key variables used in maximum price calculation ($, $2025-26)</v>
      </c>
      <c r="D26" s="84"/>
      <c r="N26" s="82"/>
    </row>
    <row r="27" spans="2:22" ht="17.399999999999999" x14ac:dyDescent="0.3">
      <c r="B27" s="57"/>
      <c r="C27" s="85"/>
      <c r="D27" s="86"/>
      <c r="E27" s="58"/>
      <c r="F27" s="58"/>
      <c r="G27" s="58"/>
      <c r="H27" s="58"/>
      <c r="I27" s="58"/>
      <c r="J27" s="58"/>
      <c r="K27" s="58"/>
      <c r="L27" s="58"/>
      <c r="M27" s="58"/>
      <c r="N27" s="58"/>
      <c r="O27" s="58"/>
      <c r="P27" s="58"/>
      <c r="Q27" s="58"/>
      <c r="R27" s="58"/>
      <c r="S27" s="58"/>
      <c r="T27" s="58"/>
      <c r="U27" s="58"/>
      <c r="V27" s="59"/>
    </row>
    <row r="28" spans="2:22" ht="96" x14ac:dyDescent="0.25">
      <c r="B28" s="60"/>
      <c r="E28" s="87" t="s">
        <v>94</v>
      </c>
      <c r="F28" s="87" t="s">
        <v>95</v>
      </c>
      <c r="G28" s="87" t="s">
        <v>96</v>
      </c>
      <c r="H28" s="87" t="s">
        <v>97</v>
      </c>
      <c r="I28" s="88"/>
      <c r="J28" s="88"/>
      <c r="K28" s="87" t="s">
        <v>98</v>
      </c>
      <c r="L28" s="88"/>
      <c r="M28" s="87" t="s">
        <v>99</v>
      </c>
      <c r="N28" s="88"/>
      <c r="O28" s="87" t="s">
        <v>100</v>
      </c>
      <c r="P28" s="88"/>
      <c r="Q28" s="88"/>
      <c r="R28" s="87" t="s">
        <v>101</v>
      </c>
      <c r="U28" s="87" t="s">
        <v>102</v>
      </c>
      <c r="V28" s="61"/>
    </row>
    <row r="29" spans="2:22" ht="12" x14ac:dyDescent="0.25">
      <c r="B29" s="60"/>
      <c r="E29" s="78">
        <f>SUM(E39:E129)</f>
        <v>22880.032660510769</v>
      </c>
      <c r="F29" s="78">
        <f>SUM(F39:F129)</f>
        <v>36891.691863419837</v>
      </c>
      <c r="G29" s="78">
        <f t="shared" ref="G29:H29" si="0">SUM(G39:G129)</f>
        <v>44674.383761392688</v>
      </c>
      <c r="H29" s="89">
        <f t="shared" si="0"/>
        <v>2202.451557420698</v>
      </c>
      <c r="K29" s="78">
        <f>K39</f>
        <v>205414086.36164755</v>
      </c>
      <c r="M29" s="78">
        <f>SUM(M39:M129)</f>
        <v>784772219.20204616</v>
      </c>
      <c r="O29" s="78">
        <f>SUM(O39:O129)</f>
        <v>120957234.01796791</v>
      </c>
      <c r="R29" s="78">
        <f>SUM(R39:R129)</f>
        <v>18845956.722768325</v>
      </c>
      <c r="U29" s="78">
        <f>SUM(U39:U129)</f>
        <v>7787410.2104744473</v>
      </c>
      <c r="V29" s="61"/>
    </row>
    <row r="30" spans="2:22" x14ac:dyDescent="0.2">
      <c r="B30" s="63"/>
      <c r="C30" s="56"/>
      <c r="D30" s="56"/>
      <c r="E30" s="56"/>
      <c r="F30" s="56"/>
      <c r="G30" s="56"/>
      <c r="H30" s="56"/>
      <c r="I30" s="56"/>
      <c r="J30" s="56"/>
      <c r="K30" s="90"/>
      <c r="L30" s="56"/>
      <c r="M30" s="90"/>
      <c r="N30" s="56"/>
      <c r="O30" s="90"/>
      <c r="P30" s="56"/>
      <c r="Q30" s="56"/>
      <c r="R30" s="56"/>
      <c r="S30" s="56"/>
      <c r="T30" s="56"/>
      <c r="U30" s="56"/>
      <c r="V30" s="64"/>
    </row>
    <row r="33" spans="2:27" ht="12" x14ac:dyDescent="0.25">
      <c r="B33" s="65" t="str">
        <f>"Note:  inputs are required in "&amp;'Reduction amount'!D17&amp;" and "&amp;'Reduction amount'!D18&amp;" to calculate the 'Reduction amount'."</f>
        <v>Note:  inputs are required in $Q$69:$Q$98 and $T$69:$T$98 to calculate the 'Reduction amount'.</v>
      </c>
    </row>
    <row r="35" spans="2:27" ht="17.399999999999999" x14ac:dyDescent="0.3">
      <c r="C35" s="66" t="str">
        <f>C11</f>
        <v>Table 3:  Annual calculation over analysis horizon ($, $2025-26)</v>
      </c>
      <c r="D35" s="91"/>
      <c r="E35" s="91"/>
      <c r="F35" s="91"/>
      <c r="G35" s="91"/>
      <c r="H35" s="91"/>
      <c r="I35" s="91"/>
      <c r="J35" s="91"/>
      <c r="K35" s="91"/>
      <c r="L35" s="91"/>
      <c r="M35" s="91"/>
      <c r="N35" s="91"/>
      <c r="O35" s="91"/>
      <c r="P35" s="41"/>
      <c r="Q35" s="91"/>
      <c r="R35" s="91"/>
      <c r="S35" s="41"/>
      <c r="T35" s="91"/>
      <c r="U35" s="91"/>
    </row>
    <row r="36" spans="2:27" ht="17.399999999999999" x14ac:dyDescent="0.3">
      <c r="B36" s="57"/>
      <c r="C36" s="85"/>
      <c r="D36" s="67"/>
      <c r="E36" s="67"/>
      <c r="F36" s="67"/>
      <c r="G36" s="67"/>
      <c r="H36" s="67"/>
      <c r="I36" s="67"/>
      <c r="J36" s="67"/>
      <c r="K36" s="58"/>
      <c r="L36" s="67"/>
      <c r="M36" s="58"/>
      <c r="N36" s="58"/>
      <c r="O36" s="58"/>
      <c r="P36" s="58"/>
      <c r="Q36" s="92" t="str">
        <f>IF(COUNT(Q39:Q129)&lt;&gt;'General inputs'!H38,"Data required in input range "&amp;'Reduction amount'!D17,"OK")</f>
        <v>OK</v>
      </c>
      <c r="R36" s="68"/>
      <c r="S36" s="58"/>
      <c r="T36" s="92" t="str">
        <f>IF(COUNT(T39:T129)&lt;&gt;'General inputs'!H38,"Data required in input range "&amp;'Reduction amount'!D18,"OK")</f>
        <v>OK</v>
      </c>
      <c r="U36" s="58"/>
      <c r="V36" s="59"/>
    </row>
    <row r="37" spans="2:27" ht="17.399999999999999" x14ac:dyDescent="0.3">
      <c r="B37" s="60"/>
      <c r="C37" s="66"/>
      <c r="D37" s="91"/>
      <c r="E37" s="93" t="s">
        <v>103</v>
      </c>
      <c r="F37" s="91"/>
      <c r="G37" s="91"/>
      <c r="H37" s="91"/>
      <c r="I37" s="91"/>
      <c r="J37" s="93" t="s">
        <v>104</v>
      </c>
      <c r="L37" s="91"/>
      <c r="Q37" s="93" t="s">
        <v>105</v>
      </c>
      <c r="R37" s="94"/>
      <c r="T37" s="93" t="s">
        <v>106</v>
      </c>
      <c r="V37" s="61"/>
    </row>
    <row r="38" spans="2:27" ht="81" x14ac:dyDescent="0.3">
      <c r="B38" s="60"/>
      <c r="C38" s="66"/>
      <c r="D38" s="95" t="s">
        <v>107</v>
      </c>
      <c r="E38" s="96" t="s">
        <v>108</v>
      </c>
      <c r="F38" s="96" t="s">
        <v>109</v>
      </c>
      <c r="G38" s="96" t="s">
        <v>110</v>
      </c>
      <c r="H38" s="97" t="s">
        <v>111</v>
      </c>
      <c r="I38" s="47"/>
      <c r="J38" s="97" t="s">
        <v>112</v>
      </c>
      <c r="K38" s="96" t="s">
        <v>113</v>
      </c>
      <c r="L38" s="97" t="s">
        <v>114</v>
      </c>
      <c r="M38" s="97" t="s">
        <v>115</v>
      </c>
      <c r="N38" s="97" t="s">
        <v>116</v>
      </c>
      <c r="O38" s="97" t="s">
        <v>117</v>
      </c>
      <c r="P38" s="47"/>
      <c r="Q38" s="97" t="s">
        <v>118</v>
      </c>
      <c r="R38" s="97" t="s">
        <v>119</v>
      </c>
      <c r="S38" s="98"/>
      <c r="T38" s="97" t="s">
        <v>120</v>
      </c>
      <c r="U38" s="97" t="s">
        <v>121</v>
      </c>
      <c r="V38" s="61"/>
    </row>
    <row r="39" spans="2:27" ht="12" thickBot="1" x14ac:dyDescent="0.25">
      <c r="B39" s="60"/>
      <c r="C39" s="52">
        <f>IF(D39='General inputs'!$I$16,0,IF(D39&lt;'General inputs'!$I$16,C40-1,C38+1))</f>
        <v>-30</v>
      </c>
      <c r="D39" s="17" t="str">
        <f>RIGHT(YEAR('General inputs'!$H$24),4)&amp;"-"&amp;RIGHT(YEAR('General inputs'!H24),2)+1</f>
        <v>1995-96</v>
      </c>
      <c r="E39" s="99">
        <f>IF(LEFT(D39,4)*1&gt;LEFT('General inputs'!$I$16,4)+'General inputs'!$H$38-1,"",'ET inputs'!D12)</f>
        <v>55.820773610641325</v>
      </c>
      <c r="F39" s="99">
        <f>IF(LEFT(D39,4)*1&gt;LEFT('General inputs'!$I$16,4)+'General inputs'!$H$38-1,"",E39/(1+'General inputs'!$H$30)^C39)</f>
        <v>135.49166889788378</v>
      </c>
      <c r="G39" s="99">
        <f>IF(LEFT(D39,4)*1&gt;LEFT('General inputs'!$I$16,4)+'General inputs'!$H$38-1,"",E39/(1+'General inputs'!$H$32)^C39)</f>
        <v>186.34499658726671</v>
      </c>
      <c r="H39" s="100" t="str">
        <f>IF(LEFT(D39,4)*1&lt;LEFT('General inputs'!$I$16,4)*1,"",IF(LEFT(D39,4)*1&gt;LEFT('General inputs'!$I$16,4)+'General inputs'!$H$38-1,"",E39/(1+'General inputs'!$H$34)^C39))</f>
        <v/>
      </c>
      <c r="J39" s="99">
        <f>'Pre-1996 assets'!P243</f>
        <v>84627883.799055815</v>
      </c>
      <c r="K39" s="99">
        <f>J39/(1+'General inputs'!$H$30)^C39</f>
        <v>205414086.36164755</v>
      </c>
      <c r="L39" s="101">
        <f>IF(LEFT(D39,4)*1&gt;LEFT('General inputs'!$I$18,4)*1,"",SUMIF('Post-1996 commissioned assets'!$F$22:$F$540,$D39,'Post-1996 commissioned assets'!$P$22:$P$540))</f>
        <v>25335044.731388282</v>
      </c>
      <c r="M39" s="101">
        <f>IF(L39="","",L39/(1+'General inputs'!$H$32)^C39)</f>
        <v>84575302.681022063</v>
      </c>
      <c r="N39" s="99" t="str">
        <f>IF(LEFT(D39,4)*1&lt;LEFT('General inputs'!$I$18,4)*1+1,"",SUMIF('Uncommissioned assets'!$F$22:$F$55,$D39,'Uncommissioned assets'!$P$22:$P$55))</f>
        <v/>
      </c>
      <c r="O39" s="99" t="str">
        <f>IF(N39="","",N39/(1+'General inputs'!$H$32)^C39)</f>
        <v/>
      </c>
      <c r="Q39" s="102"/>
      <c r="R39" s="100" t="str">
        <f>IF(OR(LEFT(D39,4)*1&lt;LEFT('General inputs'!$I$16,4)*1,LEFT(D39,4)*1&gt;LEFT('General inputs'!$I$16,4)+'General inputs'!$H$38-1),"",Q39/(1+'General inputs'!$H$34)^C39)</f>
        <v/>
      </c>
      <c r="T39" s="102"/>
      <c r="U39" s="100" t="str">
        <f>IF(OR(LEFT(D39,4)*1&lt;LEFT('General inputs'!$I$16,4)*1,LEFT(D39,4)*1&gt;LEFT('General inputs'!$I$16,4)+'General inputs'!$H$38-1),"",T39/(1+'General inputs'!$H$34)^C39)</f>
        <v/>
      </c>
      <c r="V39" s="61"/>
      <c r="X39" s="103"/>
      <c r="Y39" s="103"/>
      <c r="Z39" s="103"/>
      <c r="AA39" s="103"/>
    </row>
    <row r="40" spans="2:27" ht="12" thickTop="1" x14ac:dyDescent="0.2">
      <c r="B40" s="60"/>
      <c r="C40" s="52">
        <f>IF(D40='General inputs'!$I$16,0,IF(D40&lt;'General inputs'!$I$16,C41-1,C39+1))</f>
        <v>-29</v>
      </c>
      <c r="D40" s="52" t="str">
        <f>LEFT(D39,4)+1&amp;"-"&amp;RIGHT(D39,2)+1</f>
        <v>1996-97</v>
      </c>
      <c r="E40" s="100">
        <f>IF(LEFT(D40,4)*1&gt;LEFT('General inputs'!$I$16,4)+'General inputs'!$H$38-1,"",'ET inputs'!D13)</f>
        <v>258.40324604876645</v>
      </c>
      <c r="F40" s="100">
        <f>IF(LEFT(D40,4)*1&gt;LEFT('General inputs'!$I$16,4)+'General inputs'!$H$38-1,"",E40/(1+'General inputs'!$H$30)^C40)</f>
        <v>608.94417627937707</v>
      </c>
      <c r="G40" s="100">
        <f>IF(LEFT(D40,4)*1&gt;LEFT('General inputs'!$I$16,4)+'General inputs'!$H$38-1,"",E40/(1+'General inputs'!$H$32)^C40)</f>
        <v>828.6461573271215</v>
      </c>
      <c r="H40" s="100" t="str">
        <f>IF(LEFT(D40,4)*1&lt;LEFT('General inputs'!$I$16,4)*1,"",IF(LEFT(D40,4)*1&gt;LEFT('General inputs'!$I$16,4)+'General inputs'!$H$38-1,"",E40/(1+'General inputs'!$H$34)^C40))</f>
        <v/>
      </c>
      <c r="J40" s="104"/>
      <c r="K40" s="104"/>
      <c r="L40" s="100">
        <f>IF(LEFT(D40,4)*1&gt;LEFT('General inputs'!$I$18,4)*1,"",SUMIF('Post-1996 commissioned assets'!$F$22:$F$540,$D40,'Post-1996 commissioned assets'!$P$22:$P$540))</f>
        <v>18894897.495623708</v>
      </c>
      <c r="M40" s="100">
        <f>IF(L40="","",L40/(1+'General inputs'!$H$32)^C40)</f>
        <v>60592056.958462425</v>
      </c>
      <c r="N40" s="100" t="str">
        <f>IF(LEFT(D40,4)*1&lt;LEFT('General inputs'!$I$18,4)*1+1,"",SUMIF('Uncommissioned assets'!$F$22:$F$55,$D40,'Uncommissioned assets'!$P$22:$P$55))</f>
        <v/>
      </c>
      <c r="O40" s="100" t="str">
        <f>IF(N40="","",N40/(1+'General inputs'!$H$32)^C40)</f>
        <v/>
      </c>
      <c r="Q40" s="102"/>
      <c r="R40" s="100" t="str">
        <f>IF(OR(LEFT(D40,4)*1&lt;LEFT('General inputs'!$I$16,4)*1,LEFT(D40,4)*1&gt;LEFT('General inputs'!$I$16,4)+'General inputs'!$H$38-1),"",Q40/(1+'General inputs'!$H$34)^C40)</f>
        <v/>
      </c>
      <c r="T40" s="102"/>
      <c r="U40" s="100" t="str">
        <f>IF(OR(LEFT(D40,4)*1&lt;LEFT('General inputs'!$I$16,4)*1,LEFT(D40,4)*1&gt;LEFT('General inputs'!$I$16,4)+'General inputs'!$H$38-1),"",T40/(1+'General inputs'!$H$34)^C40)</f>
        <v/>
      </c>
      <c r="V40" s="61"/>
    </row>
    <row r="41" spans="2:27" x14ac:dyDescent="0.2">
      <c r="B41" s="60"/>
      <c r="C41" s="52">
        <f>IF(D41='General inputs'!$I$16,0,IF(D41&lt;'General inputs'!$I$16,C42-1,C40+1))</f>
        <v>-28</v>
      </c>
      <c r="D41" s="52" t="str">
        <f t="shared" ref="D41:D99" si="1">LEFT(D40,4)+1&amp;"-"&amp;RIGHT(D40,2)+1</f>
        <v>1997-98</v>
      </c>
      <c r="E41" s="100">
        <f>IF(LEFT(D41,4)*1&gt;LEFT('General inputs'!$I$16,4)+'General inputs'!$H$38-1,"",'ET inputs'!D14)</f>
        <v>496.43132202381435</v>
      </c>
      <c r="F41" s="100">
        <f>IF(LEFT(D41,4)*1&gt;LEFT('General inputs'!$I$16,4)+'General inputs'!$H$38-1,"",E41/(1+'General inputs'!$H$30)^C41)</f>
        <v>1135.798960761121</v>
      </c>
      <c r="G41" s="100">
        <f>IF(LEFT(D41,4)*1&gt;LEFT('General inputs'!$I$16,4)+'General inputs'!$H$38-1,"",E41/(1+'General inputs'!$H$32)^C41)</f>
        <v>1529.2539168611756</v>
      </c>
      <c r="H41" s="100" t="str">
        <f>IF(LEFT(D41,4)*1&lt;LEFT('General inputs'!$I$16,4)*1,"",IF(LEFT(D41,4)*1&gt;LEFT('General inputs'!$I$16,4)+'General inputs'!$H$38-1,"",E41/(1+'General inputs'!$H$34)^C41))</f>
        <v/>
      </c>
      <c r="J41" s="104"/>
      <c r="K41" s="104"/>
      <c r="L41" s="100">
        <f>IF(LEFT(D41,4)*1&gt;LEFT('General inputs'!$I$18,4)*1,"",SUMIF('Post-1996 commissioned assets'!$F$22:$F$540,$D41,'Post-1996 commissioned assets'!$P$22:$P$540))</f>
        <v>6907683.652117881</v>
      </c>
      <c r="M41" s="100">
        <f>IF(L41="","",L41/(1+'General inputs'!$H$32)^C41)</f>
        <v>21279080.937871266</v>
      </c>
      <c r="N41" s="100" t="str">
        <f>IF(LEFT(D41,4)*1&lt;LEFT('General inputs'!$I$18,4)*1+1,"",SUMIF('Uncommissioned assets'!$F$22:$F$55,$D41,'Uncommissioned assets'!$P$22:$P$55))</f>
        <v/>
      </c>
      <c r="O41" s="100" t="str">
        <f>IF(N41="","",N41/(1+'General inputs'!$H$32)^C41)</f>
        <v/>
      </c>
      <c r="Q41" s="102"/>
      <c r="R41" s="100" t="str">
        <f>IF(OR(LEFT(D41,4)*1&lt;LEFT('General inputs'!$I$16,4)*1,LEFT(D41,4)*1&gt;LEFT('General inputs'!$I$16,4)+'General inputs'!$H$38-1),"",Q41/(1+'General inputs'!$H$34)^C41)</f>
        <v/>
      </c>
      <c r="T41" s="102"/>
      <c r="U41" s="100" t="str">
        <f>IF(OR(LEFT(D41,4)*1&lt;LEFT('General inputs'!$I$16,4)*1,LEFT(D41,4)*1&gt;LEFT('General inputs'!$I$16,4)+'General inputs'!$H$38-1),"",T41/(1+'General inputs'!$H$34)^C41)</f>
        <v/>
      </c>
      <c r="V41" s="61"/>
      <c r="X41" s="105"/>
      <c r="Y41" s="105"/>
      <c r="Z41" s="105"/>
    </row>
    <row r="42" spans="2:27" ht="12" thickBot="1" x14ac:dyDescent="0.25">
      <c r="B42" s="60"/>
      <c r="C42" s="52">
        <f>IF(D42='General inputs'!$I$16,0,IF(D42&lt;'General inputs'!$I$16,C43-1,C41+1))</f>
        <v>-27</v>
      </c>
      <c r="D42" s="106" t="str">
        <f t="shared" si="1"/>
        <v>1998-99</v>
      </c>
      <c r="E42" s="100">
        <f>IF(LEFT(D42,4)*1&gt;LEFT('General inputs'!$I$16,4)+'General inputs'!$H$38-1,"",'ET inputs'!D15)</f>
        <v>976.68553434634293</v>
      </c>
      <c r="F42" s="100">
        <f>IF(LEFT(D42,4)*1&gt;LEFT('General inputs'!$I$16,4)+'General inputs'!$H$38-1,"",E42/(1+'General inputs'!$H$30)^C42)</f>
        <v>2169.5008393429439</v>
      </c>
      <c r="G42" s="100">
        <f>IF(LEFT(D42,4)*1&gt;LEFT('General inputs'!$I$16,4)+'General inputs'!$H$38-1,"",E42/(1+'General inputs'!$H$32)^C42)</f>
        <v>2890.1770774002098</v>
      </c>
      <c r="H42" s="100" t="str">
        <f>IF(LEFT(D42,4)*1&lt;LEFT('General inputs'!$I$16,4)*1,"",IF(LEFT(D42,4)*1&gt;LEFT('General inputs'!$I$16,4)+'General inputs'!$H$38-1,"",E42/(1+'General inputs'!$H$34)^C42))</f>
        <v/>
      </c>
      <c r="J42" s="104"/>
      <c r="K42" s="104"/>
      <c r="L42" s="100">
        <f>IF(LEFT(D42,4)*1&gt;LEFT('General inputs'!$I$18,4)*1,"",SUMIF('Post-1996 commissioned assets'!$F$22:$F$540,$D42,'Post-1996 commissioned assets'!$P$22:$P$540))</f>
        <v>1161457.280237267</v>
      </c>
      <c r="M42" s="100">
        <f>IF(L42="","",L42/(1+'General inputs'!$H$32)^C42)</f>
        <v>3436947.8093764605</v>
      </c>
      <c r="N42" s="100" t="str">
        <f>IF(LEFT(D42,4)*1&lt;LEFT('General inputs'!$I$18,4)*1+1,"",SUMIF('Uncommissioned assets'!$F$22:$F$55,$D42,'Uncommissioned assets'!$P$22:$P$55))</f>
        <v/>
      </c>
      <c r="O42" s="100" t="str">
        <f>IF(N42="","",N42/(1+'General inputs'!$H$32)^C42)</f>
        <v/>
      </c>
      <c r="Q42" s="102"/>
      <c r="R42" s="100" t="str">
        <f>IF(OR(LEFT(D42,4)*1&lt;LEFT('General inputs'!$I$16,4)*1,LEFT(D42,4)*1&gt;LEFT('General inputs'!$I$16,4)+'General inputs'!$H$38-1),"",Q42/(1+'General inputs'!$H$34)^C42)</f>
        <v/>
      </c>
      <c r="T42" s="102"/>
      <c r="U42" s="100" t="str">
        <f>IF(OR(LEFT(D42,4)*1&lt;LEFT('General inputs'!$I$16,4)*1,LEFT(D42,4)*1&gt;LEFT('General inputs'!$I$16,4)+'General inputs'!$H$38-1),"",T42/(1+'General inputs'!$H$34)^C42)</f>
        <v/>
      </c>
      <c r="V42" s="61"/>
      <c r="X42" s="105"/>
      <c r="Y42" s="105"/>
      <c r="Z42" s="105"/>
    </row>
    <row r="43" spans="2:27" ht="12.6" thickTop="1" thickBot="1" x14ac:dyDescent="0.25">
      <c r="B43" s="60"/>
      <c r="C43" s="52">
        <f>IF(D43='General inputs'!$I$16,0,IF(D43&lt;'General inputs'!$I$16,C44-1,C42+1))</f>
        <v>-26</v>
      </c>
      <c r="D43" s="107" t="str">
        <f>LEFT(D42,4)+1&amp;"-00"</f>
        <v>1999-00</v>
      </c>
      <c r="E43" s="100">
        <f>IF(LEFT(D43,4)*1&gt;LEFT('General inputs'!$I$16,4)+'General inputs'!$H$38-1,"",'ET inputs'!D16)</f>
        <v>1189.7254815651934</v>
      </c>
      <c r="F43" s="100">
        <f>IF(LEFT(D43,4)*1&gt;LEFT('General inputs'!$I$16,4)+'General inputs'!$H$38-1,"",E43/(1+'General inputs'!$H$30)^C43)</f>
        <v>2565.7515843178862</v>
      </c>
      <c r="G43" s="100">
        <f>IF(LEFT(D43,4)*1&gt;LEFT('General inputs'!$I$16,4)+'General inputs'!$H$38-1,"",E43/(1+'General inputs'!$H$32)^C43)</f>
        <v>3381.9386941211433</v>
      </c>
      <c r="H43" s="100" t="str">
        <f>IF(LEFT(D43,4)*1&lt;LEFT('General inputs'!$I$16,4)*1,"",IF(LEFT(D43,4)*1&gt;LEFT('General inputs'!$I$16,4)+'General inputs'!$H$38-1,"",E43/(1+'General inputs'!$H$34)^C43))</f>
        <v/>
      </c>
      <c r="J43" s="104"/>
      <c r="K43" s="104"/>
      <c r="L43" s="100">
        <f>IF(LEFT(D43,4)*1&gt;LEFT('General inputs'!$I$18,4)*1,"",SUMIF('Post-1996 commissioned assets'!$F$22:$F$540,$D43,'Post-1996 commissioned assets'!$P$22:$P$540))</f>
        <v>27625727.689529113</v>
      </c>
      <c r="M43" s="100">
        <f>IF(L43="","",L43/(1+'General inputs'!$H$32)^C43)</f>
        <v>78529474.970611349</v>
      </c>
      <c r="N43" s="100" t="str">
        <f>IF(LEFT(D43,4)*1&lt;LEFT('General inputs'!$I$18,4)*1+1,"",SUMIF('Uncommissioned assets'!$F$22:$F$55,$D43,'Uncommissioned assets'!$P$22:$P$55))</f>
        <v/>
      </c>
      <c r="O43" s="100" t="str">
        <f>IF(N43="","",N43/(1+'General inputs'!$H$32)^C43)</f>
        <v/>
      </c>
      <c r="Q43" s="102"/>
      <c r="R43" s="100" t="str">
        <f>IF(OR(LEFT(D43,4)*1&lt;LEFT('General inputs'!$I$16,4)*1,LEFT(D43,4)*1&gt;LEFT('General inputs'!$I$16,4)+'General inputs'!$H$38-1),"",Q43/(1+'General inputs'!$H$34)^C43)</f>
        <v/>
      </c>
      <c r="T43" s="102"/>
      <c r="U43" s="100" t="str">
        <f>IF(OR(LEFT(D43,4)*1&lt;LEFT('General inputs'!$I$16,4)*1,LEFT(D43,4)*1&gt;LEFT('General inputs'!$I$16,4)+'General inputs'!$H$38-1),"",T43/(1+'General inputs'!$H$34)^C43)</f>
        <v/>
      </c>
      <c r="V43" s="61"/>
      <c r="X43" s="105"/>
      <c r="Y43" s="105"/>
      <c r="Z43" s="105"/>
    </row>
    <row r="44" spans="2:27" ht="12" thickTop="1" x14ac:dyDescent="0.2">
      <c r="B44" s="60"/>
      <c r="C44" s="52">
        <f>IF(D44='General inputs'!$I$16,0,IF(D44&lt;'General inputs'!$I$16,C45-1,C43+1))</f>
        <v>-25</v>
      </c>
      <c r="D44" s="108" t="str">
        <f>LEFT(D43,4)+1&amp;"-0"&amp;RIGHT(D43,2)+1</f>
        <v>2000-01</v>
      </c>
      <c r="E44" s="100">
        <f>IF(LEFT(D44,4)*1&gt;LEFT('General inputs'!$I$16,4)+'General inputs'!$H$38-1,"",'ET inputs'!D17)</f>
        <v>1076.3470175565712</v>
      </c>
      <c r="F44" s="100">
        <f>IF(LEFT(D44,4)*1&gt;LEFT('General inputs'!$I$16,4)+'General inputs'!$H$38-1,"",E44/(1+'General inputs'!$H$30)^C44)</f>
        <v>2253.6316300090857</v>
      </c>
      <c r="G44" s="100">
        <f>IF(LEFT(D44,4)*1&gt;LEFT('General inputs'!$I$16,4)+'General inputs'!$H$38-1,"",E44/(1+'General inputs'!$H$32)^C44)</f>
        <v>2939.1418694014105</v>
      </c>
      <c r="H44" s="100" t="str">
        <f>IF(LEFT(D44,4)*1&lt;LEFT('General inputs'!$I$16,4)*1,"",IF(LEFT(D44,4)*1&gt;LEFT('General inputs'!$I$16,4)+'General inputs'!$H$38-1,"",E44/(1+'General inputs'!$H$34)^C44))</f>
        <v/>
      </c>
      <c r="J44" s="104"/>
      <c r="K44" s="104"/>
      <c r="L44" s="100">
        <f>IF(LEFT(D44,4)*1&gt;LEFT('General inputs'!$I$18,4)*1,"",SUMIF('Post-1996 commissioned assets'!$F$22:$F$540,$D44,'Post-1996 commissioned assets'!$P$22:$P$540))</f>
        <v>16191035.393331412</v>
      </c>
      <c r="M44" s="100">
        <f>IF(L44="","",L44/(1+'General inputs'!$H$32)^C44)</f>
        <v>44212274.719290838</v>
      </c>
      <c r="N44" s="100" t="str">
        <f>IF(LEFT(D44,4)*1&lt;LEFT('General inputs'!$I$18,4)*1+1,"",SUMIF('Uncommissioned assets'!$F$22:$F$55,$D44,'Uncommissioned assets'!$P$22:$P$55))</f>
        <v/>
      </c>
      <c r="O44" s="100" t="str">
        <f>IF(N44="","",N44/(1+'General inputs'!$H$32)^C44)</f>
        <v/>
      </c>
      <c r="Q44" s="102"/>
      <c r="R44" s="100" t="str">
        <f>IF(OR(LEFT(D44,4)*1&lt;LEFT('General inputs'!$I$16,4)*1,LEFT(D44,4)*1&gt;LEFT('General inputs'!$I$16,4)+'General inputs'!$H$38-1),"",Q44/(1+'General inputs'!$H$34)^C44)</f>
        <v/>
      </c>
      <c r="T44" s="102"/>
      <c r="U44" s="100" t="str">
        <f>IF(OR(LEFT(D44,4)*1&lt;LEFT('General inputs'!$I$16,4)*1,LEFT(D44,4)*1&gt;LEFT('General inputs'!$I$16,4)+'General inputs'!$H$38-1),"",T44/(1+'General inputs'!$H$34)^C44)</f>
        <v/>
      </c>
      <c r="V44" s="61"/>
      <c r="X44" s="105"/>
      <c r="Y44" s="105"/>
      <c r="Z44" s="105"/>
    </row>
    <row r="45" spans="2:27" x14ac:dyDescent="0.2">
      <c r="B45" s="60"/>
      <c r="C45" s="52">
        <f>IF(D45='General inputs'!$I$16,0,IF(D45&lt;'General inputs'!$I$16,C46-1,C44+1))</f>
        <v>-24</v>
      </c>
      <c r="D45" s="52" t="str">
        <f t="shared" ref="D45:D52" si="2">LEFT(D44,4)+1&amp;"-0"&amp;RIGHT(D44,2)+1</f>
        <v>2001-02</v>
      </c>
      <c r="E45" s="100">
        <f>IF(LEFT(D45,4)*1&gt;LEFT('General inputs'!$I$16,4)+'General inputs'!$H$38-1,"",'ET inputs'!D18)</f>
        <v>1326.4966928469316</v>
      </c>
      <c r="F45" s="100">
        <f>IF(LEFT(D45,4)*1&gt;LEFT('General inputs'!$I$16,4)+'General inputs'!$H$38-1,"",E45/(1+'General inputs'!$H$30)^C45)</f>
        <v>2696.4946594584567</v>
      </c>
      <c r="G45" s="100">
        <f>IF(LEFT(D45,4)*1&gt;LEFT('General inputs'!$I$16,4)+'General inputs'!$H$38-1,"",E45/(1+'General inputs'!$H$32)^C45)</f>
        <v>3479.5547932856084</v>
      </c>
      <c r="H45" s="100" t="str">
        <f>IF(LEFT(D45,4)*1&lt;LEFT('General inputs'!$I$16,4)*1,"",IF(LEFT(D45,4)*1&gt;LEFT('General inputs'!$I$16,4)+'General inputs'!$H$38-1,"",E45/(1+'General inputs'!$H$34)^C45))</f>
        <v/>
      </c>
      <c r="J45" s="104"/>
      <c r="K45" s="104"/>
      <c r="L45" s="100">
        <f>IF(LEFT(D45,4)*1&gt;LEFT('General inputs'!$I$18,4)*1,"",SUMIF('Post-1996 commissioned assets'!$F$22:$F$540,$D45,'Post-1996 commissioned assets'!$P$22:$P$540))</f>
        <v>48272876.946216315</v>
      </c>
      <c r="M45" s="100">
        <f>IF(L45="","",L45/(1+'General inputs'!$H$32)^C45)</f>
        <v>126625359.31650126</v>
      </c>
      <c r="N45" s="100" t="str">
        <f>IF(LEFT(D45,4)*1&lt;LEFT('General inputs'!$I$18,4)*1+1,"",SUMIF('Uncommissioned assets'!$F$22:$F$55,$D45,'Uncommissioned assets'!$P$22:$P$55))</f>
        <v/>
      </c>
      <c r="O45" s="100" t="str">
        <f>IF(N45="","",N45/(1+'General inputs'!$H$32)^C45)</f>
        <v/>
      </c>
      <c r="Q45" s="102"/>
      <c r="R45" s="100" t="str">
        <f>IF(OR(LEFT(D45,4)*1&lt;LEFT('General inputs'!$I$16,4)*1,LEFT(D45,4)*1&gt;LEFT('General inputs'!$I$16,4)+'General inputs'!$H$38-1),"",Q45/(1+'General inputs'!$H$34)^C45)</f>
        <v/>
      </c>
      <c r="T45" s="102"/>
      <c r="U45" s="100" t="str">
        <f>IF(OR(LEFT(D45,4)*1&lt;LEFT('General inputs'!$I$16,4)*1,LEFT(D45,4)*1&gt;LEFT('General inputs'!$I$16,4)+'General inputs'!$H$38-1),"",T45/(1+'General inputs'!$H$34)^C45)</f>
        <v/>
      </c>
      <c r="V45" s="61"/>
      <c r="X45" s="105"/>
      <c r="Y45" s="105"/>
      <c r="Z45" s="105"/>
    </row>
    <row r="46" spans="2:27" x14ac:dyDescent="0.2">
      <c r="B46" s="60"/>
      <c r="C46" s="52">
        <f>IF(D46='General inputs'!$I$16,0,IF(D46&lt;'General inputs'!$I$16,C47-1,C45+1))</f>
        <v>-23</v>
      </c>
      <c r="D46" s="52" t="str">
        <f t="shared" si="2"/>
        <v>2002-03</v>
      </c>
      <c r="E46" s="100">
        <f>IF(LEFT(D46,4)*1&gt;LEFT('General inputs'!$I$16,4)+'General inputs'!$H$38-1,"",'ET inputs'!D19)</f>
        <v>1587.5722954874736</v>
      </c>
      <c r="F46" s="100">
        <f>IF(LEFT(D46,4)*1&gt;LEFT('General inputs'!$I$16,4)+'General inputs'!$H$38-1,"",E46/(1+'General inputs'!$H$30)^C46)</f>
        <v>3133.2112678123772</v>
      </c>
      <c r="G46" s="100">
        <f>IF(LEFT(D46,4)*1&gt;LEFT('General inputs'!$I$16,4)+'General inputs'!$H$38-1,"",E46/(1+'General inputs'!$H$32)^C46)</f>
        <v>4000.3711838113732</v>
      </c>
      <c r="H46" s="100" t="str">
        <f>IF(LEFT(D46,4)*1&lt;LEFT('General inputs'!$I$16,4)*1,"",IF(LEFT(D46,4)*1&gt;LEFT('General inputs'!$I$16,4)+'General inputs'!$H$38-1,"",E46/(1+'General inputs'!$H$34)^C46))</f>
        <v/>
      </c>
      <c r="J46" s="104"/>
      <c r="K46" s="104"/>
      <c r="L46" s="100">
        <f>IF(LEFT(D46,4)*1&gt;LEFT('General inputs'!$I$18,4)*1,"",SUMIF('Post-1996 commissioned assets'!$F$22:$F$540,$D46,'Post-1996 commissioned assets'!$P$22:$P$540))</f>
        <v>15886271.821096268</v>
      </c>
      <c r="M46" s="100">
        <f>IF(L46="","",L46/(1+'General inputs'!$H$32)^C46)</f>
        <v>40030292.914499633</v>
      </c>
      <c r="N46" s="100" t="str">
        <f>IF(LEFT(D46,4)*1&lt;LEFT('General inputs'!$I$18,4)*1+1,"",SUMIF('Uncommissioned assets'!$F$22:$F$55,$D46,'Uncommissioned assets'!$P$22:$P$55))</f>
        <v/>
      </c>
      <c r="O46" s="100" t="str">
        <f>IF(N46="","",N46/(1+'General inputs'!$H$32)^C46)</f>
        <v/>
      </c>
      <c r="Q46" s="102"/>
      <c r="R46" s="100" t="str">
        <f>IF(OR(LEFT(D46,4)*1&lt;LEFT('General inputs'!$I$16,4)*1,LEFT(D46,4)*1&gt;LEFT('General inputs'!$I$16,4)+'General inputs'!$H$38-1),"",Q46/(1+'General inputs'!$H$34)^C46)</f>
        <v/>
      </c>
      <c r="T46" s="102"/>
      <c r="U46" s="100" t="str">
        <f>IF(OR(LEFT(D46,4)*1&lt;LEFT('General inputs'!$I$16,4)*1,LEFT(D46,4)*1&gt;LEFT('General inputs'!$I$16,4)+'General inputs'!$H$38-1),"",T46/(1+'General inputs'!$H$34)^C46)</f>
        <v/>
      </c>
      <c r="V46" s="61"/>
      <c r="X46" s="105"/>
      <c r="Y46" s="105"/>
      <c r="Z46" s="105"/>
    </row>
    <row r="47" spans="2:27" x14ac:dyDescent="0.2">
      <c r="B47" s="60"/>
      <c r="C47" s="52">
        <f>IF(D47='General inputs'!$I$16,0,IF(D47&lt;'General inputs'!$I$16,C48-1,C46+1))</f>
        <v>-22</v>
      </c>
      <c r="D47" s="52" t="str">
        <f t="shared" si="2"/>
        <v>2003-04</v>
      </c>
      <c r="E47" s="100">
        <f>IF(LEFT(D47,4)*1&gt;LEFT('General inputs'!$I$16,4)+'General inputs'!$H$38-1,"",'ET inputs'!D20)</f>
        <v>1576.877915756294</v>
      </c>
      <c r="F47" s="100">
        <f>IF(LEFT(D47,4)*1&gt;LEFT('General inputs'!$I$16,4)+'General inputs'!$H$38-1,"",E47/(1+'General inputs'!$H$30)^C47)</f>
        <v>3021.4611497379174</v>
      </c>
      <c r="G47" s="100">
        <f>IF(LEFT(D47,4)*1&gt;LEFT('General inputs'!$I$16,4)+'General inputs'!$H$38-1,"",E47/(1+'General inputs'!$H$32)^C47)</f>
        <v>3816.9293389883119</v>
      </c>
      <c r="H47" s="100" t="str">
        <f>IF(LEFT(D47,4)*1&lt;LEFT('General inputs'!$I$16,4)*1,"",IF(LEFT(D47,4)*1&gt;LEFT('General inputs'!$I$16,4)+'General inputs'!$H$38-1,"",E47/(1+'General inputs'!$H$34)^C47))</f>
        <v/>
      </c>
      <c r="J47" s="104"/>
      <c r="K47" s="104"/>
      <c r="L47" s="100">
        <f>IF(LEFT(D47,4)*1&gt;LEFT('General inputs'!$I$18,4)*1,"",SUMIF('Post-1996 commissioned assets'!$F$22:$F$540,$D47,'Post-1996 commissioned assets'!$P$22:$P$540))</f>
        <v>421573.91939789261</v>
      </c>
      <c r="M47" s="100">
        <f>IF(L47="","",L47/(1+'General inputs'!$H$32)^C47)</f>
        <v>1020445.4291760141</v>
      </c>
      <c r="N47" s="100" t="str">
        <f>IF(LEFT(D47,4)*1&lt;LEFT('General inputs'!$I$18,4)*1+1,"",SUMIF('Uncommissioned assets'!$F$22:$F$55,$D47,'Uncommissioned assets'!$P$22:$P$55))</f>
        <v/>
      </c>
      <c r="O47" s="100" t="str">
        <f>IF(N47="","",N47/(1+'General inputs'!$H$32)^C47)</f>
        <v/>
      </c>
      <c r="Q47" s="102"/>
      <c r="R47" s="100" t="str">
        <f>IF(OR(LEFT(D47,4)*1&lt;LEFT('General inputs'!$I$16,4)*1,LEFT(D47,4)*1&gt;LEFT('General inputs'!$I$16,4)+'General inputs'!$H$38-1),"",Q47/(1+'General inputs'!$H$34)^C47)</f>
        <v/>
      </c>
      <c r="T47" s="102"/>
      <c r="U47" s="100" t="str">
        <f>IF(OR(LEFT(D47,4)*1&lt;LEFT('General inputs'!$I$16,4)*1,LEFT(D47,4)*1&gt;LEFT('General inputs'!$I$16,4)+'General inputs'!$H$38-1),"",T47/(1+'General inputs'!$H$34)^C47)</f>
        <v/>
      </c>
      <c r="V47" s="61"/>
      <c r="X47" s="105"/>
      <c r="Y47" s="105"/>
      <c r="Z47" s="105"/>
    </row>
    <row r="48" spans="2:27" x14ac:dyDescent="0.2">
      <c r="B48" s="60"/>
      <c r="C48" s="52">
        <f>IF(D48='General inputs'!$I$16,0,IF(D48&lt;'General inputs'!$I$16,C49-1,C47+1))</f>
        <v>-21</v>
      </c>
      <c r="D48" s="52" t="str">
        <f t="shared" si="2"/>
        <v>2004-05</v>
      </c>
      <c r="E48" s="100">
        <f>IF(LEFT(D48,4)*1&gt;LEFT('General inputs'!$I$16,4)+'General inputs'!$H$38-1,"",'ET inputs'!D21)</f>
        <v>449.01021149456767</v>
      </c>
      <c r="F48" s="100">
        <f>IF(LEFT(D48,4)*1&gt;LEFT('General inputs'!$I$16,4)+'General inputs'!$H$38-1,"",E48/(1+'General inputs'!$H$30)^C48)</f>
        <v>835.29125908547678</v>
      </c>
      <c r="G48" s="100">
        <f>IF(LEFT(D48,4)*1&gt;LEFT('General inputs'!$I$16,4)+'General inputs'!$H$38-1,"",E48/(1+'General inputs'!$H$32)^C48)</f>
        <v>1044.0505768447092</v>
      </c>
      <c r="H48" s="100" t="str">
        <f>IF(LEFT(D48,4)*1&lt;LEFT('General inputs'!$I$16,4)*1,"",IF(LEFT(D48,4)*1&gt;LEFT('General inputs'!$I$16,4)+'General inputs'!$H$38-1,"",E48/(1+'General inputs'!$H$34)^C48))</f>
        <v/>
      </c>
      <c r="J48" s="104"/>
      <c r="K48" s="104"/>
      <c r="L48" s="100">
        <f>IF(LEFT(D48,4)*1&gt;LEFT('General inputs'!$I$18,4)*1,"",SUMIF('Post-1996 commissioned assets'!$F$22:$F$540,$D48,'Post-1996 commissioned assets'!$P$22:$P$540))</f>
        <v>6475991.5702165961</v>
      </c>
      <c r="M48" s="100">
        <f>IF(L48="","",L48/(1+'General inputs'!$H$32)^C48)</f>
        <v>15058149.149928436</v>
      </c>
      <c r="N48" s="100" t="str">
        <f>IF(LEFT(D48,4)*1&lt;LEFT('General inputs'!$I$18,4)*1+1,"",SUMIF('Uncommissioned assets'!$F$22:$F$55,$D48,'Uncommissioned assets'!$P$22:$P$55))</f>
        <v/>
      </c>
      <c r="O48" s="100" t="str">
        <f>IF(N48="","",N48/(1+'General inputs'!$H$32)^C48)</f>
        <v/>
      </c>
      <c r="Q48" s="109"/>
      <c r="R48" s="100" t="str">
        <f>IF(OR(LEFT(D48,4)*1&lt;LEFT('General inputs'!$I$16,4)*1,LEFT(D48,4)*1&gt;LEFT('General inputs'!$I$16,4)+'General inputs'!$H$38-1),"",Q48/(1+'General inputs'!$H$34)^C48)</f>
        <v/>
      </c>
      <c r="T48" s="109"/>
      <c r="U48" s="100" t="str">
        <f>IF(OR(LEFT(D48,4)*1&lt;LEFT('General inputs'!$I$16,4)*1,LEFT(D48,4)*1&gt;LEFT('General inputs'!$I$16,4)+'General inputs'!$H$38-1),"",T48/(1+'General inputs'!$H$34)^C48)</f>
        <v/>
      </c>
      <c r="V48" s="61"/>
      <c r="X48" s="105"/>
      <c r="Y48" s="105"/>
      <c r="Z48" s="105"/>
    </row>
    <row r="49" spans="2:26" x14ac:dyDescent="0.2">
      <c r="B49" s="60"/>
      <c r="C49" s="52">
        <f>IF(D49='General inputs'!$I$16,0,IF(D49&lt;'General inputs'!$I$16,C50-1,C48+1))</f>
        <v>-20</v>
      </c>
      <c r="D49" s="52" t="str">
        <f t="shared" si="2"/>
        <v>2005-06</v>
      </c>
      <c r="E49" s="100">
        <f>IF(LEFT(D49,4)*1&gt;LEFT('General inputs'!$I$16,4)+'General inputs'!$H$38-1,"",'ET inputs'!D22)</f>
        <v>864.51959746034913</v>
      </c>
      <c r="F49" s="100">
        <f>IF(LEFT(D49,4)*1&gt;LEFT('General inputs'!$I$16,4)+'General inputs'!$H$38-1,"",E49/(1+'General inputs'!$H$30)^C49)</f>
        <v>1561.4185575650154</v>
      </c>
      <c r="G49" s="100">
        <f>IF(LEFT(D49,4)*1&gt;LEFT('General inputs'!$I$16,4)+'General inputs'!$H$38-1,"",E49/(1+'General inputs'!$H$32)^C49)</f>
        <v>1931.0318312942516</v>
      </c>
      <c r="H49" s="100" t="str">
        <f>IF(LEFT(D49,4)*1&lt;LEFT('General inputs'!$I$16,4)*1,"",IF(LEFT(D49,4)*1&gt;LEFT('General inputs'!$I$16,4)+'General inputs'!$H$38-1,"",E49/(1+'General inputs'!$H$34)^C49))</f>
        <v/>
      </c>
      <c r="J49" s="104"/>
      <c r="K49" s="104"/>
      <c r="L49" s="100">
        <f>IF(LEFT(D49,4)*1&gt;LEFT('General inputs'!$I$18,4)*1,"",SUMIF('Post-1996 commissioned assets'!$F$22:$F$540,$D49,'Post-1996 commissioned assets'!$P$22:$P$540))</f>
        <v>18272023.597359523</v>
      </c>
      <c r="M49" s="100">
        <f>IF(L49="","",L49/(1+'General inputs'!$H$32)^C49)</f>
        <v>40813255.468484879</v>
      </c>
      <c r="N49" s="100" t="str">
        <f>IF(LEFT(D49,4)*1&lt;LEFT('General inputs'!$I$18,4)*1+1,"",SUMIF('Uncommissioned assets'!$F$22:$F$55,$D49,'Uncommissioned assets'!$P$22:$P$55))</f>
        <v/>
      </c>
      <c r="O49" s="100" t="str">
        <f>IF(N49="","",N49/(1+'General inputs'!$H$32)^C49)</f>
        <v/>
      </c>
      <c r="Q49" s="109"/>
      <c r="R49" s="100" t="str">
        <f>IF(OR(LEFT(D49,4)*1&lt;LEFT('General inputs'!$I$16,4)*1,LEFT(D49,4)*1&gt;LEFT('General inputs'!$I$16,4)+'General inputs'!$H$38-1),"",Q49/(1+'General inputs'!$H$34)^C49)</f>
        <v/>
      </c>
      <c r="T49" s="109"/>
      <c r="U49" s="100" t="str">
        <f>IF(OR(LEFT(D49,4)*1&lt;LEFT('General inputs'!$I$16,4)*1,LEFT(D49,4)*1&gt;LEFT('General inputs'!$I$16,4)+'General inputs'!$H$38-1),"",T49/(1+'General inputs'!$H$34)^C49)</f>
        <v/>
      </c>
      <c r="V49" s="61"/>
      <c r="X49" s="105"/>
      <c r="Y49" s="105"/>
      <c r="Z49" s="105"/>
    </row>
    <row r="50" spans="2:26" x14ac:dyDescent="0.2">
      <c r="B50" s="60"/>
      <c r="C50" s="52">
        <f>IF(D50='General inputs'!$I$16,0,IF(D50&lt;'General inputs'!$I$16,C51-1,C49+1))</f>
        <v>-19</v>
      </c>
      <c r="D50" s="52" t="str">
        <f t="shared" si="2"/>
        <v>2006-07</v>
      </c>
      <c r="E50" s="100">
        <f>IF(LEFT(D50,4)*1&gt;LEFT('General inputs'!$I$16,4)+'General inputs'!$H$38-1,"",'ET inputs'!D23)</f>
        <v>572.25129022608598</v>
      </c>
      <c r="F50" s="100">
        <f>IF(LEFT(D50,4)*1&gt;LEFT('General inputs'!$I$16,4)+'General inputs'!$H$38-1,"",E50/(1+'General inputs'!$H$30)^C50)</f>
        <v>1003.4461012926223</v>
      </c>
      <c r="G50" s="100">
        <f>IF(LEFT(D50,4)*1&gt;LEFT('General inputs'!$I$16,4)+'General inputs'!$H$38-1,"",E50/(1+'General inputs'!$H$32)^C50)</f>
        <v>1227.8650597947362</v>
      </c>
      <c r="H50" s="100" t="str">
        <f>IF(LEFT(D50,4)*1&lt;LEFT('General inputs'!$I$16,4)*1,"",IF(LEFT(D50,4)*1&gt;LEFT('General inputs'!$I$16,4)+'General inputs'!$H$38-1,"",E50/(1+'General inputs'!$H$34)^C50))</f>
        <v/>
      </c>
      <c r="J50" s="104"/>
      <c r="K50" s="104"/>
      <c r="L50" s="100">
        <f>IF(LEFT(D50,4)*1&gt;LEFT('General inputs'!$I$18,4)*1,"",SUMIF('Post-1996 commissioned assets'!$F$22:$F$540,$D50,'Post-1996 commissioned assets'!$P$22:$P$540))</f>
        <v>56957276.931260422</v>
      </c>
      <c r="M50" s="100">
        <f>IF(L50="","",L50/(1+'General inputs'!$H$32)^C50)</f>
        <v>122211782.54979043</v>
      </c>
      <c r="N50" s="100" t="str">
        <f>IF(LEFT(D50,4)*1&lt;LEFT('General inputs'!$I$18,4)*1+1,"",SUMIF('Uncommissioned assets'!$F$22:$F$55,$D50,'Uncommissioned assets'!$P$22:$P$55))</f>
        <v/>
      </c>
      <c r="O50" s="100" t="str">
        <f>IF(N50="","",N50/(1+'General inputs'!$H$32)^C50)</f>
        <v/>
      </c>
      <c r="Q50" s="109"/>
      <c r="R50" s="100" t="str">
        <f>IF(OR(LEFT(D50,4)*1&lt;LEFT('General inputs'!$I$16,4)*1,LEFT(D50,4)*1&gt;LEFT('General inputs'!$I$16,4)+'General inputs'!$H$38-1),"",Q50/(1+'General inputs'!$H$34)^C50)</f>
        <v/>
      </c>
      <c r="T50" s="109"/>
      <c r="U50" s="100" t="str">
        <f>IF(OR(LEFT(D50,4)*1&lt;LEFT('General inputs'!$I$16,4)*1,LEFT(D50,4)*1&gt;LEFT('General inputs'!$I$16,4)+'General inputs'!$H$38-1),"",T50/(1+'General inputs'!$H$34)^C50)</f>
        <v/>
      </c>
      <c r="V50" s="61"/>
      <c r="X50" s="105"/>
      <c r="Y50" s="105"/>
      <c r="Z50" s="105"/>
    </row>
    <row r="51" spans="2:26" x14ac:dyDescent="0.2">
      <c r="B51" s="60"/>
      <c r="C51" s="52">
        <f>IF(D51='General inputs'!$I$16,0,IF(D51&lt;'General inputs'!$I$16,C52-1,C50+1))</f>
        <v>-18</v>
      </c>
      <c r="D51" s="52" t="str">
        <f t="shared" si="2"/>
        <v>2007-08</v>
      </c>
      <c r="E51" s="100">
        <f>IF(LEFT(D51,4)*1&gt;LEFT('General inputs'!$I$16,4)+'General inputs'!$H$38-1,"",'ET inputs'!D24)</f>
        <v>685.55590633136569</v>
      </c>
      <c r="F51" s="100">
        <f>IF(LEFT(D51,4)*1&gt;LEFT('General inputs'!$I$16,4)+'General inputs'!$H$38-1,"",E51/(1+'General inputs'!$H$30)^C51)</f>
        <v>1167.1130402668034</v>
      </c>
      <c r="G51" s="100">
        <f>IF(LEFT(D51,4)*1&gt;LEFT('General inputs'!$I$16,4)+'General inputs'!$H$38-1,"",E51/(1+'General inputs'!$H$32)^C51)</f>
        <v>1413.0450498937396</v>
      </c>
      <c r="H51" s="100" t="str">
        <f>IF(LEFT(D51,4)*1&lt;LEFT('General inputs'!$I$16,4)*1,"",IF(LEFT(D51,4)*1&gt;LEFT('General inputs'!$I$16,4)+'General inputs'!$H$38-1,"",E51/(1+'General inputs'!$H$34)^C51))</f>
        <v/>
      </c>
      <c r="J51" s="104"/>
      <c r="K51" s="104"/>
      <c r="L51" s="100">
        <f>IF(LEFT(D51,4)*1&gt;LEFT('General inputs'!$I$18,4)*1,"",SUMIF('Post-1996 commissioned assets'!$F$22:$F$540,$D51,'Post-1996 commissioned assets'!$P$22:$P$540))</f>
        <v>16840779.364990212</v>
      </c>
      <c r="M51" s="100">
        <f>IF(L51="","",L51/(1+'General inputs'!$H$32)^C51)</f>
        <v>34711654.729074426</v>
      </c>
      <c r="N51" s="100" t="str">
        <f>IF(LEFT(D51,4)*1&lt;LEFT('General inputs'!$I$18,4)*1+1,"",SUMIF('Uncommissioned assets'!$F$22:$F$55,$D51,'Uncommissioned assets'!$P$22:$P$55))</f>
        <v/>
      </c>
      <c r="O51" s="100" t="str">
        <f>IF(N51="","",N51/(1+'General inputs'!$H$32)^C51)</f>
        <v/>
      </c>
      <c r="Q51" s="109"/>
      <c r="R51" s="100" t="str">
        <f>IF(OR(LEFT(D51,4)*1&lt;LEFT('General inputs'!$I$16,4)*1,LEFT(D51,4)*1&gt;LEFT('General inputs'!$I$16,4)+'General inputs'!$H$38-1),"",Q51/(1+'General inputs'!$H$34)^C51)</f>
        <v/>
      </c>
      <c r="T51" s="109"/>
      <c r="U51" s="100" t="str">
        <f>IF(OR(LEFT(D51,4)*1&lt;LEFT('General inputs'!$I$16,4)*1,LEFT(D51,4)*1&gt;LEFT('General inputs'!$I$16,4)+'General inputs'!$H$38-1),"",T51/(1+'General inputs'!$H$34)^C51)</f>
        <v/>
      </c>
      <c r="V51" s="61"/>
      <c r="X51" s="105"/>
      <c r="Y51" s="105"/>
      <c r="Z51" s="105"/>
    </row>
    <row r="52" spans="2:26" ht="12" thickBot="1" x14ac:dyDescent="0.25">
      <c r="B52" s="60"/>
      <c r="C52" s="52">
        <f>IF(D52='General inputs'!$I$16,0,IF(D52&lt;'General inputs'!$I$16,C53-1,C51+1))</f>
        <v>-17</v>
      </c>
      <c r="D52" s="106" t="str">
        <f t="shared" si="2"/>
        <v>2008-09</v>
      </c>
      <c r="E52" s="100">
        <f>IF(LEFT(D52,4)*1&gt;LEFT('General inputs'!$I$16,4)+'General inputs'!$H$38-1,"",'ET inputs'!D25)</f>
        <v>706.13930157761843</v>
      </c>
      <c r="F52" s="100">
        <f>IF(LEFT(D52,4)*1&gt;LEFT('General inputs'!$I$16,4)+'General inputs'!$H$38-1,"",E52/(1+'General inputs'!$H$30)^C52)</f>
        <v>1167.1406726665944</v>
      </c>
      <c r="G52" s="100">
        <f>IF(LEFT(D52,4)*1&gt;LEFT('General inputs'!$I$16,4)+'General inputs'!$H$38-1,"",E52/(1+'General inputs'!$H$32)^C52)</f>
        <v>1398.1468396662847</v>
      </c>
      <c r="H52" s="100" t="str">
        <f>IF(LEFT(D52,4)*1&lt;LEFT('General inputs'!$I$16,4)*1,"",IF(LEFT(D52,4)*1&gt;LEFT('General inputs'!$I$16,4)+'General inputs'!$H$38-1,"",E52/(1+'General inputs'!$H$34)^C52))</f>
        <v/>
      </c>
      <c r="J52" s="104"/>
      <c r="K52" s="104"/>
      <c r="L52" s="100">
        <f>IF(LEFT(D52,4)*1&gt;LEFT('General inputs'!$I$18,4)*1,"",SUMIF('Post-1996 commissioned assets'!$F$22:$F$540,$D52,'Post-1996 commissioned assets'!$P$22:$P$540))</f>
        <v>9242966.2974928729</v>
      </c>
      <c r="M52" s="100">
        <f>IF(L52="","",L52/(1+'General inputs'!$H$32)^C52)</f>
        <v>18300955.759167794</v>
      </c>
      <c r="N52" s="100" t="str">
        <f>IF(LEFT(D52,4)*1&lt;LEFT('General inputs'!$I$18,4)*1+1,"",SUMIF('Uncommissioned assets'!$F$22:$F$55,$D52,'Uncommissioned assets'!$P$22:$P$55))</f>
        <v/>
      </c>
      <c r="O52" s="100" t="str">
        <f>IF(N52="","",N52/(1+'General inputs'!$H$32)^C52)</f>
        <v/>
      </c>
      <c r="Q52" s="109"/>
      <c r="R52" s="100" t="str">
        <f>IF(OR(LEFT(D52,4)*1&lt;LEFT('General inputs'!$I$16,4)*1,LEFT(D52,4)*1&gt;LEFT('General inputs'!$I$16,4)+'General inputs'!$H$38-1),"",Q52/(1+'General inputs'!$H$34)^C52)</f>
        <v/>
      </c>
      <c r="T52" s="109"/>
      <c r="U52" s="100" t="str">
        <f>IF(OR(LEFT(D52,4)*1&lt;LEFT('General inputs'!$I$16,4)*1,LEFT(D52,4)*1&gt;LEFT('General inputs'!$I$16,4)+'General inputs'!$H$38-1),"",T52/(1+'General inputs'!$H$34)^C52)</f>
        <v/>
      </c>
      <c r="V52" s="61"/>
      <c r="X52" s="105"/>
      <c r="Y52" s="105"/>
      <c r="Z52" s="105"/>
    </row>
    <row r="53" spans="2:26" ht="12" thickTop="1" x14ac:dyDescent="0.2">
      <c r="B53" s="60"/>
      <c r="C53" s="52">
        <f>IF(D53='General inputs'!$I$16,0,IF(D53&lt;'General inputs'!$I$16,C54-1,C52+1))</f>
        <v>-16</v>
      </c>
      <c r="D53" s="108" t="str">
        <f t="shared" si="1"/>
        <v>2009-10</v>
      </c>
      <c r="E53" s="100">
        <f>IF(LEFT(D53,4)*1&gt;LEFT('General inputs'!$I$16,4)+'General inputs'!$H$38-1,"",'ET inputs'!D26)</f>
        <v>757.12195995548575</v>
      </c>
      <c r="F53" s="100">
        <f>IF(LEFT(D53,4)*1&gt;LEFT('General inputs'!$I$16,4)+'General inputs'!$H$38-1,"",E53/(1+'General inputs'!$H$30)^C53)</f>
        <v>1214.9584843236621</v>
      </c>
      <c r="G53" s="100">
        <f>IF(LEFT(D53,4)*1&gt;LEFT('General inputs'!$I$16,4)+'General inputs'!$H$38-1,"",E53/(1+'General inputs'!$H$32)^C53)</f>
        <v>1440.0498127662399</v>
      </c>
      <c r="H53" s="100" t="str">
        <f>IF(LEFT(D53,4)*1&lt;LEFT('General inputs'!$I$16,4)*1,"",IF(LEFT(D53,4)*1&gt;LEFT('General inputs'!$I$16,4)+'General inputs'!$H$38-1,"",E53/(1+'General inputs'!$H$34)^C53))</f>
        <v/>
      </c>
      <c r="J53" s="104"/>
      <c r="K53" s="104"/>
      <c r="L53" s="100">
        <f>IF(LEFT(D53,4)*1&gt;LEFT('General inputs'!$I$18,4)*1,"",SUMIF('Post-1996 commissioned assets'!$F$22:$F$540,$D53,'Post-1996 commissioned assets'!$P$22:$P$540))</f>
        <v>1193111.4708567008</v>
      </c>
      <c r="M53" s="100">
        <f>IF(L53="","",L53/(1+'General inputs'!$H$32)^C53)</f>
        <v>2269304.0766080297</v>
      </c>
      <c r="N53" s="100" t="str">
        <f>IF(LEFT(D53,4)*1&lt;LEFT('General inputs'!$I$18,4)*1+1,"",SUMIF('Uncommissioned assets'!$F$22:$F$55,$D53,'Uncommissioned assets'!$P$22:$P$55))</f>
        <v/>
      </c>
      <c r="O53" s="100" t="str">
        <f>IF(N53="","",N53/(1+'General inputs'!$H$32)^C53)</f>
        <v/>
      </c>
      <c r="Q53" s="109"/>
      <c r="R53" s="100" t="str">
        <f>IF(OR(LEFT(D53,4)*1&lt;LEFT('General inputs'!$I$16,4)*1,LEFT(D53,4)*1&gt;LEFT('General inputs'!$I$16,4)+'General inputs'!$H$38-1),"",Q53/(1+'General inputs'!$H$34)^C53)</f>
        <v/>
      </c>
      <c r="T53" s="109"/>
      <c r="U53" s="100" t="str">
        <f>IF(OR(LEFT(D53,4)*1&lt;LEFT('General inputs'!$I$16,4)*1,LEFT(D53,4)*1&gt;LEFT('General inputs'!$I$16,4)+'General inputs'!$H$38-1),"",T53/(1+'General inputs'!$H$34)^C53)</f>
        <v/>
      </c>
      <c r="V53" s="61"/>
      <c r="X53" s="105"/>
      <c r="Y53" s="105"/>
      <c r="Z53" s="105"/>
    </row>
    <row r="54" spans="2:26" x14ac:dyDescent="0.2">
      <c r="B54" s="60"/>
      <c r="C54" s="52">
        <f>IF(D54='General inputs'!$I$16,0,IF(D54&lt;'General inputs'!$I$16,C55-1,C53+1))</f>
        <v>-15</v>
      </c>
      <c r="D54" s="52" t="str">
        <f t="shared" si="1"/>
        <v>2010-11</v>
      </c>
      <c r="E54" s="100">
        <f>IF(LEFT(D54,4)*1&gt;LEFT('General inputs'!$I$16,4)+'General inputs'!$H$38-1,"",'ET inputs'!D27)</f>
        <v>625.68945570089863</v>
      </c>
      <c r="F54" s="100">
        <f>IF(LEFT(D54,4)*1&gt;LEFT('General inputs'!$I$16,4)+'General inputs'!$H$38-1,"",E54/(1+'General inputs'!$H$30)^C54)</f>
        <v>974.80378489266752</v>
      </c>
      <c r="G54" s="100">
        <f>IF(LEFT(D54,4)*1&gt;LEFT('General inputs'!$I$16,4)+'General inputs'!$H$38-1,"",E54/(1+'General inputs'!$H$32)^C54)</f>
        <v>1143.1935852196473</v>
      </c>
      <c r="H54" s="100" t="str">
        <f>IF(LEFT(D54,4)*1&lt;LEFT('General inputs'!$I$16,4)*1,"",IF(LEFT(D54,4)*1&gt;LEFT('General inputs'!$I$16,4)+'General inputs'!$H$38-1,"",E54/(1+'General inputs'!$H$34)^C54))</f>
        <v/>
      </c>
      <c r="J54" s="104"/>
      <c r="K54" s="104"/>
      <c r="L54" s="100">
        <f>IF(LEFT(D54,4)*1&gt;LEFT('General inputs'!$I$18,4)*1,"",SUMIF('Post-1996 commissioned assets'!$F$22:$F$540,$D54,'Post-1996 commissioned assets'!$P$22:$P$540))</f>
        <v>3732905.5465597026</v>
      </c>
      <c r="M54" s="100">
        <f>IF(L54="","",L54/(1+'General inputs'!$H$32)^C54)</f>
        <v>6820370.1311819376</v>
      </c>
      <c r="N54" s="100" t="str">
        <f>IF(LEFT(D54,4)*1&lt;LEFT('General inputs'!$I$18,4)*1+1,"",SUMIF('Uncommissioned assets'!$F$22:$F$55,$D54,'Uncommissioned assets'!$P$22:$P$55))</f>
        <v/>
      </c>
      <c r="O54" s="100" t="str">
        <f>IF(N54="","",N54/(1+'General inputs'!$H$32)^C54)</f>
        <v/>
      </c>
      <c r="Q54" s="109"/>
      <c r="R54" s="100" t="str">
        <f>IF(OR(LEFT(D54,4)*1&lt;LEFT('General inputs'!$I$16,4)*1,LEFT(D54,4)*1&gt;LEFT('General inputs'!$I$16,4)+'General inputs'!$H$38-1),"",Q54/(1+'General inputs'!$H$34)^C54)</f>
        <v/>
      </c>
      <c r="T54" s="109"/>
      <c r="U54" s="100" t="str">
        <f>IF(OR(LEFT(D54,4)*1&lt;LEFT('General inputs'!$I$16,4)*1,LEFT(D54,4)*1&gt;LEFT('General inputs'!$I$16,4)+'General inputs'!$H$38-1),"",T54/(1+'General inputs'!$H$34)^C54)</f>
        <v/>
      </c>
      <c r="V54" s="61"/>
      <c r="X54" s="105"/>
      <c r="Y54" s="105"/>
      <c r="Z54" s="105"/>
    </row>
    <row r="55" spans="2:26" x14ac:dyDescent="0.2">
      <c r="B55" s="60"/>
      <c r="C55" s="52">
        <f>IF(D55='General inputs'!$I$16,0,IF(D55&lt;'General inputs'!$I$16,C56-1,C54+1))</f>
        <v>-14</v>
      </c>
      <c r="D55" s="52" t="str">
        <f t="shared" si="1"/>
        <v>2011-12</v>
      </c>
      <c r="E55" s="100">
        <f>IF(LEFT(D55,4)*1&gt;LEFT('General inputs'!$I$16,4)+'General inputs'!$H$38-1,"",'ET inputs'!D28)</f>
        <v>666.659272083838</v>
      </c>
      <c r="F55" s="100">
        <f>IF(LEFT(D55,4)*1&gt;LEFT('General inputs'!$I$16,4)+'General inputs'!$H$38-1,"",E55/(1+'General inputs'!$H$30)^C55)</f>
        <v>1008.3819649334012</v>
      </c>
      <c r="G55" s="100">
        <f>IF(LEFT(D55,4)*1&gt;LEFT('General inputs'!$I$16,4)+'General inputs'!$H$38-1,"",E55/(1+'General inputs'!$H$32)^C55)</f>
        <v>1170.0761765068346</v>
      </c>
      <c r="H55" s="100" t="str">
        <f>IF(LEFT(D55,4)*1&lt;LEFT('General inputs'!$I$16,4)*1,"",IF(LEFT(D55,4)*1&gt;LEFT('General inputs'!$I$16,4)+'General inputs'!$H$38-1,"",E55/(1+'General inputs'!$H$34)^C55))</f>
        <v/>
      </c>
      <c r="J55" s="104"/>
      <c r="K55" s="104"/>
      <c r="L55" s="100">
        <f>IF(LEFT(D55,4)*1&gt;LEFT('General inputs'!$I$18,4)*1,"",SUMIF('Post-1996 commissioned assets'!$F$22:$F$540,$D55,'Post-1996 commissioned assets'!$P$22:$P$540))</f>
        <v>4137671.531820083</v>
      </c>
      <c r="M55" s="100">
        <f>IF(L55="","",L55/(1+'General inputs'!$H$32)^C55)</f>
        <v>7262166.8794315886</v>
      </c>
      <c r="N55" s="100" t="str">
        <f>IF(LEFT(D55,4)*1&lt;LEFT('General inputs'!$I$18,4)*1+1,"",SUMIF('Uncommissioned assets'!$F$22:$F$55,$D55,'Uncommissioned assets'!$P$22:$P$55))</f>
        <v/>
      </c>
      <c r="O55" s="100" t="str">
        <f>IF(N55="","",N55/(1+'General inputs'!$H$32)^C55)</f>
        <v/>
      </c>
      <c r="Q55" s="109"/>
      <c r="R55" s="100" t="str">
        <f>IF(OR(LEFT(D55,4)*1&lt;LEFT('General inputs'!$I$16,4)*1,LEFT(D55,4)*1&gt;LEFT('General inputs'!$I$16,4)+'General inputs'!$H$38-1),"",Q55/(1+'General inputs'!$H$34)^C55)</f>
        <v/>
      </c>
      <c r="T55" s="109"/>
      <c r="U55" s="100" t="str">
        <f>IF(OR(LEFT(D55,4)*1&lt;LEFT('General inputs'!$I$16,4)*1,LEFT(D55,4)*1&gt;LEFT('General inputs'!$I$16,4)+'General inputs'!$H$38-1),"",T55/(1+'General inputs'!$H$34)^C55)</f>
        <v/>
      </c>
      <c r="V55" s="61"/>
      <c r="X55" s="105"/>
      <c r="Y55" s="105"/>
      <c r="Z55" s="105"/>
    </row>
    <row r="56" spans="2:26" x14ac:dyDescent="0.2">
      <c r="B56" s="60"/>
      <c r="C56" s="52">
        <f>IF(D56='General inputs'!$I$16,0,IF(D56&lt;'General inputs'!$I$16,C57-1,C55+1))</f>
        <v>-13</v>
      </c>
      <c r="D56" s="52" t="str">
        <f t="shared" si="1"/>
        <v>2012-13</v>
      </c>
      <c r="E56" s="100">
        <f>IF(LEFT(D56,4)*1&gt;LEFT('General inputs'!$I$16,4)+'General inputs'!$H$38-1,"",'ET inputs'!D29)</f>
        <v>795.31312964285974</v>
      </c>
      <c r="F56" s="100">
        <f>IF(LEFT(D56,4)*1&gt;LEFT('General inputs'!$I$16,4)+'General inputs'!$H$38-1,"",E56/(1+'General inputs'!$H$30)^C56)</f>
        <v>1167.9441436312138</v>
      </c>
      <c r="G56" s="100">
        <f>IF(LEFT(D56,4)*1&gt;LEFT('General inputs'!$I$16,4)+'General inputs'!$H$38-1,"",E56/(1+'General inputs'!$H$32)^C56)</f>
        <v>1340.9038441140467</v>
      </c>
      <c r="H56" s="100" t="str">
        <f>IF(LEFT(D56,4)*1&lt;LEFT('General inputs'!$I$16,4)*1,"",IF(LEFT(D56,4)*1&gt;LEFT('General inputs'!$I$16,4)+'General inputs'!$H$38-1,"",E56/(1+'General inputs'!$H$34)^C56))</f>
        <v/>
      </c>
      <c r="J56" s="104"/>
      <c r="K56" s="104"/>
      <c r="L56" s="100">
        <f>IF(LEFT(D56,4)*1&gt;LEFT('General inputs'!$I$18,4)*1,"",SUMIF('Post-1996 commissioned assets'!$F$22:$F$540,$D56,'Post-1996 commissioned assets'!$P$22:$P$540))</f>
        <v>3536793.8248026129</v>
      </c>
      <c r="M56" s="100">
        <f>IF(L56="","",L56/(1+'General inputs'!$H$32)^C56)</f>
        <v>5963060.6597005324</v>
      </c>
      <c r="N56" s="100" t="str">
        <f>IF(LEFT(D56,4)*1&lt;LEFT('General inputs'!$I$18,4)*1+1,"",SUMIF('Uncommissioned assets'!$F$22:$F$55,$D56,'Uncommissioned assets'!$P$22:$P$55))</f>
        <v/>
      </c>
      <c r="O56" s="100" t="str">
        <f>IF(N56="","",N56/(1+'General inputs'!$H$32)^C56)</f>
        <v/>
      </c>
      <c r="Q56" s="109"/>
      <c r="R56" s="100" t="str">
        <f>IF(OR(LEFT(D56,4)*1&lt;LEFT('General inputs'!$I$16,4)*1,LEFT(D56,4)*1&gt;LEFT('General inputs'!$I$16,4)+'General inputs'!$H$38-1),"",Q56/(1+'General inputs'!$H$34)^C56)</f>
        <v/>
      </c>
      <c r="T56" s="109"/>
      <c r="U56" s="100" t="str">
        <f>IF(OR(LEFT(D56,4)*1&lt;LEFT('General inputs'!$I$16,4)*1,LEFT(D56,4)*1&gt;LEFT('General inputs'!$I$16,4)+'General inputs'!$H$38-1),"",T56/(1+'General inputs'!$H$34)^C56)</f>
        <v/>
      </c>
      <c r="V56" s="61"/>
      <c r="X56" s="105"/>
      <c r="Y56" s="105"/>
      <c r="Z56" s="105"/>
    </row>
    <row r="57" spans="2:26" x14ac:dyDescent="0.2">
      <c r="B57" s="60"/>
      <c r="C57" s="52">
        <f>IF(D57='General inputs'!$I$16,0,IF(D57&lt;'General inputs'!$I$16,C58-1,C56+1))</f>
        <v>-12</v>
      </c>
      <c r="D57" s="52" t="str">
        <f t="shared" si="1"/>
        <v>2013-14</v>
      </c>
      <c r="E57" s="100">
        <f>IF(LEFT(D57,4)*1&gt;LEFT('General inputs'!$I$16,4)+'General inputs'!$H$38-1,"",'ET inputs'!D30)</f>
        <v>635.58274526698972</v>
      </c>
      <c r="F57" s="100">
        <f>IF(LEFT(D57,4)*1&gt;LEFT('General inputs'!$I$16,4)+'General inputs'!$H$38-1,"",E57/(1+'General inputs'!$H$30)^C57)</f>
        <v>906.18901855599199</v>
      </c>
      <c r="G57" s="100">
        <f>IF(LEFT(D57,4)*1&gt;LEFT('General inputs'!$I$16,4)+'General inputs'!$H$38-1,"",E57/(1+'General inputs'!$H$32)^C57)</f>
        <v>1029.3921513823486</v>
      </c>
      <c r="H57" s="100" t="str">
        <f>IF(LEFT(D57,4)*1&lt;LEFT('General inputs'!$I$16,4)*1,"",IF(LEFT(D57,4)*1&gt;LEFT('General inputs'!$I$16,4)+'General inputs'!$H$38-1,"",E57/(1+'General inputs'!$H$34)^C57))</f>
        <v/>
      </c>
      <c r="J57" s="104"/>
      <c r="K57" s="104"/>
      <c r="L57" s="100">
        <f>IF(LEFT(D57,4)*1&gt;LEFT('General inputs'!$I$18,4)*1,"",SUMIF('Post-1996 commissioned assets'!$F$22:$F$540,$D57,'Post-1996 commissioned assets'!$P$22:$P$540))</f>
        <v>2780.5803394569757</v>
      </c>
      <c r="M57" s="100">
        <f>IF(L57="","",L57/(1+'General inputs'!$H$32)^C57)</f>
        <v>4503.438142460438</v>
      </c>
      <c r="N57" s="100" t="str">
        <f>IF(LEFT(D57,4)*1&lt;LEFT('General inputs'!$I$18,4)*1+1,"",SUMIF('Uncommissioned assets'!$F$22:$F$55,$D57,'Uncommissioned assets'!$P$22:$P$55))</f>
        <v/>
      </c>
      <c r="O57" s="100" t="str">
        <f>IF(N57="","",N57/(1+'General inputs'!$H$32)^C57)</f>
        <v/>
      </c>
      <c r="Q57" s="109"/>
      <c r="R57" s="100" t="str">
        <f>IF(OR(LEFT(D57,4)*1&lt;LEFT('General inputs'!$I$16,4)*1,LEFT(D57,4)*1&gt;LEFT('General inputs'!$I$16,4)+'General inputs'!$H$38-1),"",Q57/(1+'General inputs'!$H$34)^C57)</f>
        <v/>
      </c>
      <c r="T57" s="109"/>
      <c r="U57" s="100" t="str">
        <f>IF(OR(LEFT(D57,4)*1&lt;LEFT('General inputs'!$I$16,4)*1,LEFT(D57,4)*1&gt;LEFT('General inputs'!$I$16,4)+'General inputs'!$H$38-1),"",T57/(1+'General inputs'!$H$34)^C57)</f>
        <v/>
      </c>
      <c r="V57" s="61"/>
      <c r="X57" s="105"/>
      <c r="Y57" s="105"/>
      <c r="Z57" s="105"/>
    </row>
    <row r="58" spans="2:26" x14ac:dyDescent="0.2">
      <c r="B58" s="60"/>
      <c r="C58" s="52">
        <f>IF(D58='General inputs'!$I$16,0,IF(D58&lt;'General inputs'!$I$16,C59-1,C57+1))</f>
        <v>-11</v>
      </c>
      <c r="D58" s="52" t="str">
        <f t="shared" si="1"/>
        <v>2014-15</v>
      </c>
      <c r="E58" s="100">
        <f>IF(LEFT(D58,4)*1&gt;LEFT('General inputs'!$I$16,4)+'General inputs'!$H$38-1,"",'ET inputs'!D31)</f>
        <v>548.94409733532598</v>
      </c>
      <c r="F58" s="100">
        <f>IF(LEFT(D58,4)*1&gt;LEFT('General inputs'!$I$16,4)+'General inputs'!$H$38-1,"",E58/(1+'General inputs'!$H$30)^C58)</f>
        <v>759.86701266581497</v>
      </c>
      <c r="G58" s="100">
        <f>IF(LEFT(D58,4)*1&gt;LEFT('General inputs'!$I$16,4)+'General inputs'!$H$38-1,"",E58/(1+'General inputs'!$H$32)^C58)</f>
        <v>854.05559904601262</v>
      </c>
      <c r="H58" s="100" t="str">
        <f>IF(LEFT(D58,4)*1&lt;LEFT('General inputs'!$I$16,4)*1,"",IF(LEFT(D58,4)*1&gt;LEFT('General inputs'!$I$16,4)+'General inputs'!$H$38-1,"",E58/(1+'General inputs'!$H$34)^C58))</f>
        <v/>
      </c>
      <c r="J58" s="104"/>
      <c r="K58" s="104"/>
      <c r="L58" s="100">
        <f>IF(LEFT(D58,4)*1&gt;LEFT('General inputs'!$I$18,4)*1,"",SUMIF('Post-1996 commissioned assets'!$F$22:$F$540,$D58,'Post-1996 commissioned assets'!$P$22:$P$540))</f>
        <v>443227.31360753567</v>
      </c>
      <c r="M58" s="100">
        <f>IF(L58="","",L58/(1+'General inputs'!$H$32)^C58)</f>
        <v>689579.81454604247</v>
      </c>
      <c r="N58" s="100" t="str">
        <f>IF(LEFT(D58,4)*1&lt;LEFT('General inputs'!$I$18,4)*1+1,"",SUMIF('Uncommissioned assets'!$F$22:$F$55,$D58,'Uncommissioned assets'!$P$22:$P$55))</f>
        <v/>
      </c>
      <c r="O58" s="100" t="str">
        <f>IF(N58="","",N58/(1+'General inputs'!$H$32)^C58)</f>
        <v/>
      </c>
      <c r="Q58" s="109"/>
      <c r="R58" s="100" t="str">
        <f>IF(OR(LEFT(D58,4)*1&lt;LEFT('General inputs'!$I$16,4)*1,LEFT(D58,4)*1&gt;LEFT('General inputs'!$I$16,4)+'General inputs'!$H$38-1),"",Q58/(1+'General inputs'!$H$34)^C58)</f>
        <v/>
      </c>
      <c r="T58" s="109"/>
      <c r="U58" s="100" t="str">
        <f>IF(OR(LEFT(D58,4)*1&lt;LEFT('General inputs'!$I$16,4)*1,LEFT(D58,4)*1&gt;LEFT('General inputs'!$I$16,4)+'General inputs'!$H$38-1),"",T58/(1+'General inputs'!$H$34)^C58)</f>
        <v/>
      </c>
      <c r="V58" s="61"/>
      <c r="X58" s="105"/>
      <c r="Y58" s="105"/>
      <c r="Z58" s="105"/>
    </row>
    <row r="59" spans="2:26" x14ac:dyDescent="0.2">
      <c r="B59" s="60"/>
      <c r="C59" s="52">
        <f>IF(D59='General inputs'!$I$16,0,IF(D59&lt;'General inputs'!$I$16,C60-1,C58+1))</f>
        <v>-10</v>
      </c>
      <c r="D59" s="52" t="str">
        <f t="shared" si="1"/>
        <v>2015-16</v>
      </c>
      <c r="E59" s="100">
        <f>IF(LEFT(D59,4)*1&gt;LEFT('General inputs'!$I$16,4)+'General inputs'!$H$38-1,"",'ET inputs'!D32)</f>
        <v>592.5429047937389</v>
      </c>
      <c r="F59" s="100">
        <f>IF(LEFT(D59,4)*1&gt;LEFT('General inputs'!$I$16,4)+'General inputs'!$H$38-1,"",E59/(1+'General inputs'!$H$30)^C59)</f>
        <v>796.32811521645033</v>
      </c>
      <c r="G59" s="100">
        <f>IF(LEFT(D59,4)*1&gt;LEFT('General inputs'!$I$16,4)+'General inputs'!$H$38-1,"",E59/(1+'General inputs'!$H$32)^C59)</f>
        <v>885.5785673892201</v>
      </c>
      <c r="H59" s="100" t="str">
        <f>IF(LEFT(D59,4)*1&lt;LEFT('General inputs'!$I$16,4)*1,"",IF(LEFT(D59,4)*1&gt;LEFT('General inputs'!$I$16,4)+'General inputs'!$H$38-1,"",E59/(1+'General inputs'!$H$34)^C59))</f>
        <v/>
      </c>
      <c r="J59" s="104"/>
      <c r="K59" s="104"/>
      <c r="L59" s="100">
        <f>IF(LEFT(D59,4)*1&gt;LEFT('General inputs'!$I$18,4)*1,"",SUMIF('Post-1996 commissioned assets'!$F$22:$F$540,$D59,'Post-1996 commissioned assets'!$P$22:$P$540))</f>
        <v>3272186.8654634859</v>
      </c>
      <c r="M59" s="100">
        <f>IF(L59="","",L59/(1+'General inputs'!$H$32)^C59)</f>
        <v>4890411.3661704855</v>
      </c>
      <c r="N59" s="100" t="str">
        <f>IF(LEFT(D59,4)*1&lt;LEFT('General inputs'!$I$18,4)*1+1,"",SUMIF('Uncommissioned assets'!$F$22:$F$55,$D59,'Uncommissioned assets'!$P$22:$P$55))</f>
        <v/>
      </c>
      <c r="O59" s="100" t="str">
        <f>IF(N59="","",N59/(1+'General inputs'!$H$32)^C59)</f>
        <v/>
      </c>
      <c r="Q59" s="109"/>
      <c r="R59" s="100" t="str">
        <f>IF(OR(LEFT(D59,4)*1&lt;LEFT('General inputs'!$I$16,4)*1,LEFT(D59,4)*1&gt;LEFT('General inputs'!$I$16,4)+'General inputs'!$H$38-1),"",Q59/(1+'General inputs'!$H$34)^C59)</f>
        <v/>
      </c>
      <c r="T59" s="109"/>
      <c r="U59" s="100" t="str">
        <f>IF(OR(LEFT(D59,4)*1&lt;LEFT('General inputs'!$I$16,4)*1,LEFT(D59,4)*1&gt;LEFT('General inputs'!$I$16,4)+'General inputs'!$H$38-1),"",T59/(1+'General inputs'!$H$34)^C59)</f>
        <v/>
      </c>
      <c r="V59" s="61"/>
      <c r="X59" s="105"/>
      <c r="Y59" s="105"/>
      <c r="Z59" s="105"/>
    </row>
    <row r="60" spans="2:26" x14ac:dyDescent="0.2">
      <c r="B60" s="60"/>
      <c r="C60" s="52">
        <f>IF(D60='General inputs'!$I$16,0,IF(D60&lt;'General inputs'!$I$16,C61-1,C59+1))</f>
        <v>-9</v>
      </c>
      <c r="D60" s="52" t="str">
        <f t="shared" si="1"/>
        <v>2016-17</v>
      </c>
      <c r="E60" s="100">
        <f>IF(LEFT(D60,4)*1&gt;LEFT('General inputs'!$I$16,4)+'General inputs'!$H$38-1,"",'ET inputs'!D33)</f>
        <v>652.81077989798746</v>
      </c>
      <c r="F60" s="100">
        <f>IF(LEFT(D60,4)*1&gt;LEFT('General inputs'!$I$16,4)+'General inputs'!$H$38-1,"",E60/(1+'General inputs'!$H$30)^C60)</f>
        <v>851.76999972554927</v>
      </c>
      <c r="G60" s="100">
        <f>IF(LEFT(D60,4)*1&gt;LEFT('General inputs'!$I$16,4)+'General inputs'!$H$38-1,"",E60/(1+'General inputs'!$H$32)^C60)</f>
        <v>937.2250394127185</v>
      </c>
      <c r="H60" s="100" t="str">
        <f>IF(LEFT(D60,4)*1&lt;LEFT('General inputs'!$I$16,4)*1,"",IF(LEFT(D60,4)*1&gt;LEFT('General inputs'!$I$16,4)+'General inputs'!$H$38-1,"",E60/(1+'General inputs'!$H$34)^C60))</f>
        <v/>
      </c>
      <c r="J60" s="104"/>
      <c r="K60" s="104"/>
      <c r="L60" s="100">
        <f>IF(LEFT(D60,4)*1&gt;LEFT('General inputs'!$I$18,4)*1,"",SUMIF('Post-1996 commissioned assets'!$F$22:$F$540,$D60,'Post-1996 commissioned assets'!$P$22:$P$540))</f>
        <v>15311257.851554856</v>
      </c>
      <c r="M60" s="100">
        <f>IF(L60="","",L60/(1+'General inputs'!$H$32)^C60)</f>
        <v>21982011.763997275</v>
      </c>
      <c r="N60" s="100" t="str">
        <f>IF(LEFT(D60,4)*1&lt;LEFT('General inputs'!$I$18,4)*1+1,"",SUMIF('Uncommissioned assets'!$F$22:$F$55,$D60,'Uncommissioned assets'!$P$22:$P$55))</f>
        <v/>
      </c>
      <c r="O60" s="100" t="str">
        <f>IF(N60="","",N60/(1+'General inputs'!$H$32)^C60)</f>
        <v/>
      </c>
      <c r="Q60" s="109"/>
      <c r="R60" s="100" t="str">
        <f>IF(OR(LEFT(D60,4)*1&lt;LEFT('General inputs'!$I$16,4)*1,LEFT(D60,4)*1&gt;LEFT('General inputs'!$I$16,4)+'General inputs'!$H$38-1),"",Q60/(1+'General inputs'!$H$34)^C60)</f>
        <v/>
      </c>
      <c r="T60" s="109"/>
      <c r="U60" s="100" t="str">
        <f>IF(OR(LEFT(D60,4)*1&lt;LEFT('General inputs'!$I$16,4)*1,LEFT(D60,4)*1&gt;LEFT('General inputs'!$I$16,4)+'General inputs'!$H$38-1),"",T60/(1+'General inputs'!$H$34)^C60)</f>
        <v/>
      </c>
      <c r="V60" s="61"/>
      <c r="X60" s="105"/>
      <c r="Y60" s="105"/>
      <c r="Z60" s="105"/>
    </row>
    <row r="61" spans="2:26" x14ac:dyDescent="0.2">
      <c r="B61" s="60"/>
      <c r="C61" s="52">
        <f>IF(D61='General inputs'!$I$16,0,IF(D61&lt;'General inputs'!$I$16,C62-1,C60+1))</f>
        <v>-8</v>
      </c>
      <c r="D61" s="52" t="str">
        <f t="shared" si="1"/>
        <v>2017-18</v>
      </c>
      <c r="E61" s="100">
        <f>IF(LEFT(D61,4)*1&gt;LEFT('General inputs'!$I$16,4)+'General inputs'!$H$38-1,"",'ET inputs'!D34)</f>
        <v>561.09053873851792</v>
      </c>
      <c r="F61" s="100">
        <f>IF(LEFT(D61,4)*1&gt;LEFT('General inputs'!$I$16,4)+'General inputs'!$H$38-1,"",E61/(1+'General inputs'!$H$30)^C61)</f>
        <v>710.77270742361361</v>
      </c>
      <c r="G61" s="100">
        <f>IF(LEFT(D61,4)*1&gt;LEFT('General inputs'!$I$16,4)+'General inputs'!$H$38-1,"",E61/(1+'General inputs'!$H$32)^C61)</f>
        <v>773.81791787374596</v>
      </c>
      <c r="H61" s="100" t="str">
        <f>IF(LEFT(D61,4)*1&lt;LEFT('General inputs'!$I$16,4)*1,"",IF(LEFT(D61,4)*1&gt;LEFT('General inputs'!$I$16,4)+'General inputs'!$H$38-1,"",E61/(1+'General inputs'!$H$34)^C61))</f>
        <v/>
      </c>
      <c r="J61" s="104"/>
      <c r="K61" s="104"/>
      <c r="L61" s="100">
        <f>IF(LEFT(D61,4)*1&gt;LEFT('General inputs'!$I$18,4)*1,"",SUMIF('Post-1996 commissioned assets'!$F$22:$F$540,$D61,'Post-1996 commissioned assets'!$P$22:$P$540))</f>
        <v>15103487.623956358</v>
      </c>
      <c r="M61" s="100">
        <f>IF(L61="","",L61/(1+'General inputs'!$H$32)^C61)</f>
        <v>20829703.120779932</v>
      </c>
      <c r="N61" s="100" t="str">
        <f>IF(LEFT(D61,4)*1&lt;LEFT('General inputs'!$I$18,4)*1+1,"",SUMIF('Uncommissioned assets'!$F$22:$F$55,$D61,'Uncommissioned assets'!$P$22:$P$55))</f>
        <v/>
      </c>
      <c r="O61" s="100" t="str">
        <f>IF(N61="","",N61/(1+'General inputs'!$H$32)^C61)</f>
        <v/>
      </c>
      <c r="Q61" s="109"/>
      <c r="R61" s="100" t="str">
        <f>IF(OR(LEFT(D61,4)*1&lt;LEFT('General inputs'!$I$16,4)*1,LEFT(D61,4)*1&gt;LEFT('General inputs'!$I$16,4)+'General inputs'!$H$38-1),"",Q61/(1+'General inputs'!$H$34)^C61)</f>
        <v/>
      </c>
      <c r="T61" s="109"/>
      <c r="U61" s="100" t="str">
        <f>IF(OR(LEFT(D61,4)*1&lt;LEFT('General inputs'!$I$16,4)*1,LEFT(D61,4)*1&gt;LEFT('General inputs'!$I$16,4)+'General inputs'!$H$38-1),"",T61/(1+'General inputs'!$H$34)^C61)</f>
        <v/>
      </c>
      <c r="V61" s="61"/>
    </row>
    <row r="62" spans="2:26" x14ac:dyDescent="0.2">
      <c r="B62" s="60"/>
      <c r="C62" s="52">
        <f>IF(D62='General inputs'!$I$16,0,IF(D62&lt;'General inputs'!$I$16,C63-1,C61+1))</f>
        <v>-7</v>
      </c>
      <c r="D62" s="52" t="str">
        <f t="shared" si="1"/>
        <v>2018-19</v>
      </c>
      <c r="E62" s="100">
        <f>IF(LEFT(D62,4)*1&gt;LEFT('General inputs'!$I$16,4)+'General inputs'!$H$38-1,"",'ET inputs'!D35)</f>
        <v>426.28888467108675</v>
      </c>
      <c r="F62" s="100">
        <f>IF(LEFT(D62,4)*1&gt;LEFT('General inputs'!$I$16,4)+'General inputs'!$H$38-1,"",E62/(1+'General inputs'!$H$30)^C62)</f>
        <v>524.28155837808606</v>
      </c>
      <c r="G62" s="100">
        <f>IF(LEFT(D62,4)*1&gt;LEFT('General inputs'!$I$16,4)+'General inputs'!$H$38-1,"",E62/(1+'General inputs'!$H$32)^C62)</f>
        <v>564.75373953471626</v>
      </c>
      <c r="H62" s="100" t="str">
        <f>IF(LEFT(D62,4)*1&lt;LEFT('General inputs'!$I$16,4)*1,"",IF(LEFT(D62,4)*1&gt;LEFT('General inputs'!$I$16,4)+'General inputs'!$H$38-1,"",E62/(1+'General inputs'!$H$34)^C62))</f>
        <v/>
      </c>
      <c r="J62" s="104"/>
      <c r="K62" s="104"/>
      <c r="L62" s="100">
        <f>IF(LEFT(D62,4)*1&gt;LEFT('General inputs'!$I$18,4)*1,"",SUMIF('Post-1996 commissioned assets'!$F$22:$F$540,$D62,'Post-1996 commissioned assets'!$P$22:$P$540))</f>
        <v>15843450.48527167</v>
      </c>
      <c r="M62" s="100">
        <f>IF(L62="","",L62/(1+'General inputs'!$H$32)^C62)</f>
        <v>20989634.565757114</v>
      </c>
      <c r="N62" s="100" t="str">
        <f>IF(LEFT(D62,4)*1&lt;LEFT('General inputs'!$I$18,4)*1+1,"",SUMIF('Uncommissioned assets'!$F$22:$F$55,$D62,'Uncommissioned assets'!$P$22:$P$55))</f>
        <v/>
      </c>
      <c r="O62" s="100" t="str">
        <f>IF(N62="","",N62/(1+'General inputs'!$H$32)^C62)</f>
        <v/>
      </c>
      <c r="Q62" s="109"/>
      <c r="R62" s="100" t="str">
        <f>IF(OR(LEFT(D62,4)*1&lt;LEFT('General inputs'!$I$16,4)*1,LEFT(D62,4)*1&gt;LEFT('General inputs'!$I$16,4)+'General inputs'!$H$38-1),"",Q62/(1+'General inputs'!$H$34)^C62)</f>
        <v/>
      </c>
      <c r="T62" s="109"/>
      <c r="U62" s="100" t="str">
        <f>IF(OR(LEFT(D62,4)*1&lt;LEFT('General inputs'!$I$16,4)*1,LEFT(D62,4)*1&gt;LEFT('General inputs'!$I$16,4)+'General inputs'!$H$38-1),"",T62/(1+'General inputs'!$H$34)^C62)</f>
        <v/>
      </c>
      <c r="V62" s="61"/>
    </row>
    <row r="63" spans="2:26" x14ac:dyDescent="0.2">
      <c r="B63" s="60"/>
      <c r="C63" s="52">
        <f>IF(D63='General inputs'!$I$16,0,IF(D63&lt;'General inputs'!$I$16,C64-1,C62+1))</f>
        <v>-6</v>
      </c>
      <c r="D63" s="52" t="str">
        <f t="shared" si="1"/>
        <v>2019-20</v>
      </c>
      <c r="E63" s="100">
        <f>IF(LEFT(D63,4)*1&gt;LEFT('General inputs'!$I$16,4)+'General inputs'!$H$38-1,"",'ET inputs'!D36)</f>
        <v>427.43126438394302</v>
      </c>
      <c r="F63" s="100">
        <f>IF(LEFT(D63,4)*1&gt;LEFT('General inputs'!$I$16,4)+'General inputs'!$H$38-1,"",E63/(1+'General inputs'!$H$30)^C63)</f>
        <v>510.37528284594129</v>
      </c>
      <c r="G63" s="100">
        <f>IF(LEFT(D63,4)*1&gt;LEFT('General inputs'!$I$16,4)+'General inputs'!$H$38-1,"",E63/(1+'General inputs'!$H$32)^C63)</f>
        <v>543.96463098996014</v>
      </c>
      <c r="H63" s="100" t="str">
        <f>IF(LEFT(D63,4)*1&lt;LEFT('General inputs'!$I$16,4)*1,"",IF(LEFT(D63,4)*1&gt;LEFT('General inputs'!$I$16,4)+'General inputs'!$H$38-1,"",E63/(1+'General inputs'!$H$34)^C63))</f>
        <v/>
      </c>
      <c r="J63" s="104"/>
      <c r="K63" s="104"/>
      <c r="L63" s="100">
        <f>IF(LEFT(D63,4)*1&gt;LEFT('General inputs'!$I$18,4)*1,"",SUMIF('Post-1996 commissioned assets'!$F$22:$F$540,$D63,'Post-1996 commissioned assets'!$P$22:$P$540))</f>
        <v>818090.73723087681</v>
      </c>
      <c r="M63" s="100">
        <f>IF(L63="","",L63/(1+'General inputs'!$H$32)^C63)</f>
        <v>1041132.1376677841</v>
      </c>
      <c r="N63" s="100" t="str">
        <f>IF(LEFT(D63,4)*1&lt;LEFT('General inputs'!$I$18,4)*1+1,"",SUMIF('Uncommissioned assets'!$F$22:$F$55,$D63,'Uncommissioned assets'!$P$22:$P$55))</f>
        <v/>
      </c>
      <c r="O63" s="100" t="str">
        <f>IF(N63="","",N63/(1+'General inputs'!$H$32)^C63)</f>
        <v/>
      </c>
      <c r="Q63" s="109"/>
      <c r="R63" s="100" t="str">
        <f>IF(OR(LEFT(D63,4)*1&lt;LEFT('General inputs'!$I$16,4)*1,LEFT(D63,4)*1&gt;LEFT('General inputs'!$I$16,4)+'General inputs'!$H$38-1),"",Q63/(1+'General inputs'!$H$34)^C63)</f>
        <v/>
      </c>
      <c r="T63" s="109"/>
      <c r="U63" s="100" t="str">
        <f>IF(OR(LEFT(D63,4)*1&lt;LEFT('General inputs'!$I$16,4)*1,LEFT(D63,4)*1&gt;LEFT('General inputs'!$I$16,4)+'General inputs'!$H$38-1),"",T63/(1+'General inputs'!$H$34)^C63)</f>
        <v/>
      </c>
      <c r="V63" s="61"/>
    </row>
    <row r="64" spans="2:26" x14ac:dyDescent="0.2">
      <c r="B64" s="60"/>
      <c r="C64" s="52">
        <f>IF(D64='General inputs'!$I$16,0,IF(D64&lt;'General inputs'!$I$16,C65-1,C63+1))</f>
        <v>-5</v>
      </c>
      <c r="D64" s="52" t="str">
        <f t="shared" si="1"/>
        <v>2020-21</v>
      </c>
      <c r="E64" s="100">
        <f>IF(LEFT(D64,4)*1&gt;LEFT('General inputs'!$I$16,4)+'General inputs'!$H$38-1,"",'ET inputs'!D37)</f>
        <v>323.39853694002295</v>
      </c>
      <c r="F64" s="100">
        <f>IF(LEFT(D64,4)*1&gt;LEFT('General inputs'!$I$16,4)+'General inputs'!$H$38-1,"",E64/(1+'General inputs'!$H$30)^C64)</f>
        <v>374.90753954111943</v>
      </c>
      <c r="G64" s="100">
        <f>IF(LEFT(D64,4)*1&gt;LEFT('General inputs'!$I$16,4)+'General inputs'!$H$38-1,"",E64/(1+'General inputs'!$H$32)^C64)</f>
        <v>395.35906262692538</v>
      </c>
      <c r="H64" s="100" t="str">
        <f>IF(LEFT(D64,4)*1&lt;LEFT('General inputs'!$I$16,4)*1,"",IF(LEFT(D64,4)*1&gt;LEFT('General inputs'!$I$16,4)+'General inputs'!$H$38-1,"",E64/(1+'General inputs'!$H$34)^C64))</f>
        <v/>
      </c>
      <c r="J64" s="104"/>
      <c r="K64" s="104"/>
      <c r="L64" s="100">
        <f>IF(LEFT(D64,4)*1&gt;LEFT('General inputs'!$I$18,4)*1,"",SUMIF('Post-1996 commissioned assets'!$F$22:$F$540,$D64,'Post-1996 commissioned assets'!$P$22:$P$540))</f>
        <v>47486.048382759334</v>
      </c>
      <c r="M64" s="100">
        <f>IF(L64="","",L64/(1+'General inputs'!$H$32)^C64)</f>
        <v>58052.333056616037</v>
      </c>
      <c r="N64" s="100" t="str">
        <f>IF(LEFT(D64,4)*1&lt;LEFT('General inputs'!$I$18,4)*1+1,"",SUMIF('Uncommissioned assets'!$F$22:$F$55,$D64,'Uncommissioned assets'!$P$22:$P$55))</f>
        <v/>
      </c>
      <c r="O64" s="100" t="str">
        <f>IF(N64="","",N64/(1+'General inputs'!$H$32)^C64)</f>
        <v/>
      </c>
      <c r="Q64" s="109"/>
      <c r="R64" s="100" t="str">
        <f>IF(OR(LEFT(D64,4)*1&lt;LEFT('General inputs'!$I$16,4)*1,LEFT(D64,4)*1&gt;LEFT('General inputs'!$I$16,4)+'General inputs'!$H$38-1),"",Q64/(1+'General inputs'!$H$34)^C64)</f>
        <v/>
      </c>
      <c r="T64" s="109"/>
      <c r="U64" s="100" t="str">
        <f>IF(OR(LEFT(D64,4)*1&lt;LEFT('General inputs'!$I$16,4)*1,LEFT(D64,4)*1&gt;LEFT('General inputs'!$I$16,4)+'General inputs'!$H$38-1),"",T64/(1+'General inputs'!$H$34)^C64)</f>
        <v/>
      </c>
      <c r="V64" s="61"/>
    </row>
    <row r="65" spans="2:22" x14ac:dyDescent="0.2">
      <c r="B65" s="60"/>
      <c r="C65" s="52">
        <f>IF(D65='General inputs'!$I$16,0,IF(D65&lt;'General inputs'!$I$16,C66-1,C64+1))</f>
        <v>-4</v>
      </c>
      <c r="D65" s="52" t="str">
        <f t="shared" si="1"/>
        <v>2021-22</v>
      </c>
      <c r="E65" s="100">
        <f>IF(LEFT(D65,4)*1&gt;LEFT('General inputs'!$I$16,4)+'General inputs'!$H$38-1,"",'ET inputs'!D38)</f>
        <v>379.56596124089333</v>
      </c>
      <c r="F65" s="100">
        <f>IF(LEFT(D65,4)*1&gt;LEFT('General inputs'!$I$16,4)+'General inputs'!$H$38-1,"",E65/(1+'General inputs'!$H$30)^C65)</f>
        <v>427.20483335274395</v>
      </c>
      <c r="G65" s="100">
        <f>IF(LEFT(D65,4)*1&gt;LEFT('General inputs'!$I$16,4)+'General inputs'!$H$38-1,"",E65/(1+'General inputs'!$H$32)^C65)</f>
        <v>445.74879399462435</v>
      </c>
      <c r="H65" s="100" t="str">
        <f>IF(LEFT(D65,4)*1&lt;LEFT('General inputs'!$I$16,4)*1,"",IF(LEFT(D65,4)*1&gt;LEFT('General inputs'!$I$16,4)+'General inputs'!$H$38-1,"",E65/(1+'General inputs'!$H$34)^C65))</f>
        <v/>
      </c>
      <c r="J65" s="104"/>
      <c r="K65" s="104"/>
      <c r="L65" s="100">
        <f>IF(LEFT(D65,4)*1&gt;LEFT('General inputs'!$I$18,4)*1,"",SUMIF('Post-1996 commissioned assets'!$F$22:$F$540,$D65,'Post-1996 commissioned assets'!$P$22:$P$540))</f>
        <v>276811.69508130191</v>
      </c>
      <c r="M65" s="100">
        <f>IF(L65="","",L65/(1+'General inputs'!$H$32)^C65)</f>
        <v>325077.83059026446</v>
      </c>
      <c r="N65" s="100" t="str">
        <f>IF(LEFT(D65,4)*1&lt;LEFT('General inputs'!$I$18,4)*1+1,"",SUMIF('Uncommissioned assets'!$F$22:$F$55,$D65,'Uncommissioned assets'!$P$22:$P$55))</f>
        <v/>
      </c>
      <c r="O65" s="100" t="str">
        <f>IF(N65="","",N65/(1+'General inputs'!$H$32)^C65)</f>
        <v/>
      </c>
      <c r="Q65" s="109"/>
      <c r="R65" s="100" t="str">
        <f>IF(OR(LEFT(D65,4)*1&lt;LEFT('General inputs'!$I$16,4)*1,LEFT(D65,4)*1&gt;LEFT('General inputs'!$I$16,4)+'General inputs'!$H$38-1),"",Q65/(1+'General inputs'!$H$34)^C65)</f>
        <v/>
      </c>
      <c r="T65" s="109"/>
      <c r="U65" s="100" t="str">
        <f>IF(OR(LEFT(D65,4)*1&lt;LEFT('General inputs'!$I$16,4)*1,LEFT(D65,4)*1&gt;LEFT('General inputs'!$I$16,4)+'General inputs'!$H$38-1),"",T65/(1+'General inputs'!$H$34)^C65)</f>
        <v/>
      </c>
      <c r="V65" s="61"/>
    </row>
    <row r="66" spans="2:22" x14ac:dyDescent="0.2">
      <c r="B66" s="60"/>
      <c r="C66" s="52">
        <f>IF(D66='General inputs'!$I$16,0,IF(D66&lt;'General inputs'!$I$16,C67-1,C65+1))</f>
        <v>-3</v>
      </c>
      <c r="D66" s="52" t="str">
        <f t="shared" si="1"/>
        <v>2022-23</v>
      </c>
      <c r="E66" s="100">
        <f>IF(LEFT(D66,4)*1&gt;LEFT('General inputs'!$I$16,4)+'General inputs'!$H$38-1,"",'ET inputs'!D39)</f>
        <v>228.96268419185276</v>
      </c>
      <c r="F66" s="100">
        <f>IF(LEFT(D66,4)*1&gt;LEFT('General inputs'!$I$16,4)+'General inputs'!$H$38-1,"",E66/(1+'General inputs'!$H$30)^C66)</f>
        <v>250.19370700891068</v>
      </c>
      <c r="G66" s="100">
        <f>IF(LEFT(D66,4)*1&gt;LEFT('General inputs'!$I$16,4)+'General inputs'!$H$38-1,"",E66/(1+'General inputs'!$H$32)^C66)</f>
        <v>258.29553350098735</v>
      </c>
      <c r="H66" s="100" t="str">
        <f>IF(LEFT(D66,4)*1&lt;LEFT('General inputs'!$I$16,4)*1,"",IF(LEFT(D66,4)*1&gt;LEFT('General inputs'!$I$16,4)+'General inputs'!$H$38-1,"",E66/(1+'General inputs'!$H$34)^C66))</f>
        <v/>
      </c>
      <c r="J66" s="104"/>
      <c r="K66" s="104"/>
      <c r="L66" s="100">
        <f>IF(LEFT(D66,4)*1&gt;LEFT('General inputs'!$I$18,4)*1,"",SUMIF('Post-1996 commissioned assets'!$F$22:$F$540,$D66,'Post-1996 commissioned assets'!$P$22:$P$540))</f>
        <v>0</v>
      </c>
      <c r="M66" s="100">
        <f>IF(L66="","",L66/(1+'General inputs'!$H$32)^C66)</f>
        <v>0</v>
      </c>
      <c r="N66" s="100" t="str">
        <f>IF(LEFT(D66,4)*1&lt;LEFT('General inputs'!$I$18,4)*1+1,"",SUMIF('Uncommissioned assets'!$F$22:$F$55,$D66,'Uncommissioned assets'!$P$22:$P$55))</f>
        <v/>
      </c>
      <c r="O66" s="100" t="str">
        <f>IF(N66="","",N66/(1+'General inputs'!$H$32)^C66)</f>
        <v/>
      </c>
      <c r="Q66" s="109"/>
      <c r="R66" s="100" t="str">
        <f>IF(OR(LEFT(D66,4)*1&lt;LEFT('General inputs'!$I$16,4)*1,LEFT(D66,4)*1&gt;LEFT('General inputs'!$I$16,4)+'General inputs'!$H$38-1),"",Q66/(1+'General inputs'!$H$34)^C66)</f>
        <v/>
      </c>
      <c r="T66" s="109"/>
      <c r="U66" s="100" t="str">
        <f>IF(OR(LEFT(D66,4)*1&lt;LEFT('General inputs'!$I$16,4)*1,LEFT(D66,4)*1&gt;LEFT('General inputs'!$I$16,4)+'General inputs'!$H$38-1),"",T66/(1+'General inputs'!$H$34)^C66)</f>
        <v/>
      </c>
      <c r="V66" s="61"/>
    </row>
    <row r="67" spans="2:22" x14ac:dyDescent="0.2">
      <c r="B67" s="60"/>
      <c r="C67" s="52">
        <f>IF(D67='General inputs'!$I$16,0,IF(D67&lt;'General inputs'!$I$16,C68-1,C66+1))</f>
        <v>-2</v>
      </c>
      <c r="D67" s="52" t="str">
        <f t="shared" si="1"/>
        <v>2023-24</v>
      </c>
      <c r="E67" s="100">
        <f>IF(LEFT(D67,4)*1&gt;LEFT('General inputs'!$I$16,4)+'General inputs'!$H$38-1,"",'ET inputs'!D40)</f>
        <v>305.34362206658784</v>
      </c>
      <c r="F67" s="100">
        <f>IF(LEFT(D67,4)*1&gt;LEFT('General inputs'!$I$16,4)+'General inputs'!$H$38-1,"",E67/(1+'General inputs'!$H$30)^C67)</f>
        <v>323.93904865044306</v>
      </c>
      <c r="G67" s="100">
        <f>IF(LEFT(D67,4)*1&gt;LEFT('General inputs'!$I$16,4)+'General inputs'!$H$38-1,"",E67/(1+'General inputs'!$H$32)^C67)</f>
        <v>330.89508170474198</v>
      </c>
      <c r="H67" s="100" t="str">
        <f>IF(LEFT(D67,4)*1&lt;LEFT('General inputs'!$I$16,4)*1,"",IF(LEFT(D67,4)*1&gt;LEFT('General inputs'!$I$16,4)+'General inputs'!$H$38-1,"",E67/(1+'General inputs'!$H$34)^C67))</f>
        <v/>
      </c>
      <c r="J67" s="104"/>
      <c r="K67" s="104"/>
      <c r="L67" s="100">
        <f>IF(LEFT(D67,4)*1&gt;LEFT('General inputs'!$I$18,4)*1,"",SUMIF('Post-1996 commissioned assets'!$F$22:$F$540,$D67,'Post-1996 commissioned assets'!$P$22:$P$540))</f>
        <v>18285.116216235216</v>
      </c>
      <c r="M67" s="100">
        <f>IF(L67="","",L67/(1+'General inputs'!$H$32)^C67)</f>
        <v>19815.233026325994</v>
      </c>
      <c r="N67" s="100" t="str">
        <f>IF(LEFT(D67,4)*1&lt;LEFT('General inputs'!$I$18,4)*1+1,"",SUMIF('Uncommissioned assets'!$F$22:$F$55,$D67,'Uncommissioned assets'!$P$22:$P$55))</f>
        <v/>
      </c>
      <c r="O67" s="100" t="str">
        <f>IF(N67="","",N67/(1+'General inputs'!$H$32)^C67)</f>
        <v/>
      </c>
      <c r="Q67" s="109"/>
      <c r="R67" s="100" t="str">
        <f>IF(OR(LEFT(D67,4)*1&lt;LEFT('General inputs'!$I$16,4)*1,LEFT(D67,4)*1&gt;LEFT('General inputs'!$I$16,4)+'General inputs'!$H$38-1),"",Q67/(1+'General inputs'!$H$34)^C67)</f>
        <v/>
      </c>
      <c r="T67" s="109"/>
      <c r="U67" s="100" t="str">
        <f>IF(OR(LEFT(D67,4)*1&lt;LEFT('General inputs'!$I$16,4)*1,LEFT(D67,4)*1&gt;LEFT('General inputs'!$I$16,4)+'General inputs'!$H$38-1),"",T67/(1+'General inputs'!$H$34)^C67)</f>
        <v/>
      </c>
      <c r="V67" s="61"/>
    </row>
    <row r="68" spans="2:22" x14ac:dyDescent="0.2">
      <c r="B68" s="60"/>
      <c r="C68" s="52">
        <f>IF(D68='General inputs'!$I$16,0,IF(D68&lt;'General inputs'!$I$16,C69-1,C67+1))</f>
        <v>-1</v>
      </c>
      <c r="D68" s="52" t="str">
        <f t="shared" si="1"/>
        <v>2024-25</v>
      </c>
      <c r="E68" s="100">
        <f>IF(LEFT(D68,4)*1&gt;LEFT('General inputs'!$I$16,4)+'General inputs'!$H$38-1,"",'ET inputs'!D41)</f>
        <v>280.61986804215064</v>
      </c>
      <c r="F68" s="100">
        <f>IF(LEFT(D68,4)*1&gt;LEFT('General inputs'!$I$16,4)+'General inputs'!$H$38-1,"",E68/(1+'General inputs'!$H$30)^C68)</f>
        <v>289.03846408341514</v>
      </c>
      <c r="G68" s="100">
        <f>IF(LEFT(D68,4)*1&gt;LEFT('General inputs'!$I$16,4)+'General inputs'!$H$38-1,"",E68/(1+'General inputs'!$H$32)^C68)</f>
        <v>292.1252826318788</v>
      </c>
      <c r="H68" s="100" t="str">
        <f>IF(LEFT(D68,4)*1&lt;LEFT('General inputs'!$I$16,4)*1,"",IF(LEFT(D68,4)*1&gt;LEFT('General inputs'!$I$16,4)+'General inputs'!$H$38-1,"",E68/(1+'General inputs'!$H$34)^C68))</f>
        <v/>
      </c>
      <c r="J68" s="104"/>
      <c r="K68" s="104"/>
      <c r="L68" s="100">
        <f>IF(LEFT(D68,4)*1&gt;LEFT('General inputs'!$I$18,4)*1,"",SUMIF('Post-1996 commissioned assets'!$F$22:$F$540,$D68,'Post-1996 commissioned assets'!$P$22:$P$540))</f>
        <v>221289.58514142004</v>
      </c>
      <c r="M68" s="100">
        <f>IF(L68="","",L68/(1+'General inputs'!$H$32)^C68)</f>
        <v>230362.45813221825</v>
      </c>
      <c r="N68" s="100" t="str">
        <f>IF(LEFT(D68,4)*1&lt;LEFT('General inputs'!$I$18,4)*1+1,"",SUMIF('Uncommissioned assets'!$F$22:$F$55,$D68,'Uncommissioned assets'!$P$22:$P$55))</f>
        <v/>
      </c>
      <c r="O68" s="100" t="str">
        <f>IF(N68="","",N68/(1+'General inputs'!$H$32)^C68)</f>
        <v/>
      </c>
      <c r="Q68" s="109"/>
      <c r="R68" s="100" t="str">
        <f>IF(OR(LEFT(D68,4)*1&lt;LEFT('General inputs'!$I$16,4)*1,LEFT(D68,4)*1&gt;LEFT('General inputs'!$I$16,4)+'General inputs'!$H$38-1),"",Q68/(1+'General inputs'!$H$34)^C68)</f>
        <v/>
      </c>
      <c r="T68" s="109"/>
      <c r="U68" s="100" t="str">
        <f>IF(OR(LEFT(D68,4)*1&lt;LEFT('General inputs'!$I$16,4)*1,LEFT(D68,4)*1&gt;LEFT('General inputs'!$I$16,4)+'General inputs'!$H$38-1),"",T68/(1+'General inputs'!$H$34)^C68)</f>
        <v/>
      </c>
      <c r="V68" s="61"/>
    </row>
    <row r="69" spans="2:22" x14ac:dyDescent="0.2">
      <c r="B69" s="60"/>
      <c r="C69" s="52">
        <f>IF(D69='General inputs'!$I$16,0,IF(D69&lt;'General inputs'!$I$16,C70-1,C68+1))</f>
        <v>0</v>
      </c>
      <c r="D69" s="52" t="str">
        <f t="shared" si="1"/>
        <v>2025-26</v>
      </c>
      <c r="E69" s="100">
        <f>IF(LEFT(D69,4)*1&gt;LEFT('General inputs'!$I$16,4)+'General inputs'!$H$38-1,"",'ET inputs'!D42)</f>
        <v>191.39170603293871</v>
      </c>
      <c r="F69" s="100">
        <f>IF(LEFT(D69,4)*1&gt;LEFT('General inputs'!$I$16,4)+'General inputs'!$H$38-1,"",E69/(1+'General inputs'!$H$30)^C69)</f>
        <v>191.39170603293871</v>
      </c>
      <c r="G69" s="100">
        <f>IF(LEFT(D69,4)*1&gt;LEFT('General inputs'!$I$16,4)+'General inputs'!$H$38-1,"",E69/(1+'General inputs'!$H$32)^C69)</f>
        <v>191.39170603293871</v>
      </c>
      <c r="H69" s="100">
        <f>IF(LEFT(D69,4)*1&lt;LEFT('General inputs'!$I$16,4)*1,"",IF(LEFT(D69,4)*1&gt;LEFT('General inputs'!$I$16,4)+'General inputs'!$H$38-1,"",E69/(1+'General inputs'!$H$34)^C69))</f>
        <v>191.39170603293871</v>
      </c>
      <c r="J69" s="104"/>
      <c r="K69" s="104"/>
      <c r="L69" s="100" t="str">
        <f>IF(LEFT(D69,4)*1&gt;LEFT('General inputs'!$I$18,4)*1,"",SUMIF('Post-1996 commissioned assets'!$F$22:$F$540,$D69,'Post-1996 commissioned assets'!$P$22:$P$540))</f>
        <v/>
      </c>
      <c r="M69" s="100" t="str">
        <f>IF(L69="","",L69/(1+'General inputs'!$H$32)^C69)</f>
        <v/>
      </c>
      <c r="N69" s="100">
        <f>IF(LEFT(D69,4)*1&lt;LEFT('General inputs'!$I$18,4)*1+1,"",SUMIF('Uncommissioned assets'!$F$22:$F$55,$D69,'Uncommissioned assets'!$P$22:$P$55))</f>
        <v>0</v>
      </c>
      <c r="O69" s="100">
        <f>IF(N69="","",N69/(1+'General inputs'!$H$32)^C69)</f>
        <v>0</v>
      </c>
      <c r="Q69" s="109">
        <f>IF(LEFT(D69,4)*1&lt;LEFT('General inputs'!$I$18,4)*1+1,"",SUMIF('Reduction amount'!$J$38:$J$67,$D69,'Reduction amount'!$K$38:$K$67))</f>
        <v>61338.612020084685</v>
      </c>
      <c r="R69" s="100">
        <f>IF(OR(LEFT(D69,4)*1&lt;LEFT('General inputs'!$I$16,4)*1,LEFT(D69,4)*1&gt;LEFT('General inputs'!$I$16,4)+'General inputs'!$H$38-1),"",Q69/(1+'General inputs'!$H$34)^C69)</f>
        <v>61338.612020084685</v>
      </c>
      <c r="T69" s="109">
        <f>IF(LEFT(D69,4)*1&lt;LEFT('General inputs'!$I$18,4)*1+1,"",SUMIF('Reduction amount'!$D$38:$D$67,$D69,'Reduction amount'!$E$38:$E$67))</f>
        <v>49248.554502843501</v>
      </c>
      <c r="U69" s="100">
        <f>IF(OR(LEFT(D69,4)*1&lt;LEFT('General inputs'!$I$16,4)*1,LEFT(D69,4)*1&gt;LEFT('General inputs'!$I$16,4)+'General inputs'!$H$38-1),"",T69/(1+'General inputs'!$H$34)^C69)</f>
        <v>49248.554502843501</v>
      </c>
      <c r="V69" s="61"/>
    </row>
    <row r="70" spans="2:22" x14ac:dyDescent="0.2">
      <c r="B70" s="60"/>
      <c r="C70" s="52">
        <f>IF(D70='General inputs'!$I$16,0,IF(D70&lt;'General inputs'!$I$16,C71-1,C69+1))</f>
        <v>1</v>
      </c>
      <c r="D70" s="52" t="str">
        <f t="shared" si="1"/>
        <v>2026-27</v>
      </c>
      <c r="E70" s="100">
        <f>IF(LEFT(D70,4)*1&gt;LEFT('General inputs'!$I$16,4)+'General inputs'!$H$38-1,"",'ET inputs'!D43)</f>
        <v>201.75571496233019</v>
      </c>
      <c r="F70" s="100">
        <f>IF(LEFT(D70,4)*1&gt;LEFT('General inputs'!$I$16,4)+'General inputs'!$H$38-1,"",E70/(1+'General inputs'!$H$30)^C70)</f>
        <v>195.87933491488369</v>
      </c>
      <c r="G70" s="100">
        <f>IF(LEFT(D70,4)*1&gt;LEFT('General inputs'!$I$16,4)+'General inputs'!$H$38-1,"",E70/(1+'General inputs'!$H$32)^C70)</f>
        <v>193.80952445949106</v>
      </c>
      <c r="H70" s="100">
        <f>IF(LEFT(D70,4)*1&lt;LEFT('General inputs'!$I$16,4)*1,"",IF(LEFT(D70,4)*1&gt;LEFT('General inputs'!$I$16,4)+'General inputs'!$H$38-1,"",E70/(1+'General inputs'!$H$34)^C70))</f>
        <v>193.80952445949106</v>
      </c>
      <c r="J70" s="104"/>
      <c r="K70" s="104"/>
      <c r="L70" s="100" t="str">
        <f>IF(LEFT(D70,4)*1&gt;LEFT('General inputs'!$I$18,4)*1,"",SUMIF('Post-1996 commissioned assets'!$F$22:$F$540,$D70,'Post-1996 commissioned assets'!$P$22:$P$540))</f>
        <v/>
      </c>
      <c r="M70" s="100" t="str">
        <f>IF(L70="","",L70/(1+'General inputs'!$H$32)^C70)</f>
        <v/>
      </c>
      <c r="N70" s="100">
        <f>IF(LEFT(D70,4)*1&lt;LEFT('General inputs'!$I$18,4)*1+1,"",SUMIF('Uncommissioned assets'!$F$22:$F$55,$D70,'Uncommissioned assets'!$P$22:$P$55))</f>
        <v>4244716.3622250967</v>
      </c>
      <c r="O70" s="100">
        <f>IF(N70="","",N70/(1+'General inputs'!$H$32)^C70)</f>
        <v>4077537.3316283352</v>
      </c>
      <c r="Q70" s="109">
        <f>IF(LEFT(D70,4)*1&lt;LEFT('General inputs'!$I$18,4)*1+1,"",SUMIF('Reduction amount'!$J$38:$J$67,$D70,'Reduction amount'!$K$38:$K$67))</f>
        <v>132895.20676965194</v>
      </c>
      <c r="R70" s="100">
        <f>IF(OR(LEFT(D70,4)*1&lt;LEFT('General inputs'!$I$16,4)*1,LEFT(D70,4)*1&gt;LEFT('General inputs'!$I$16,4)+'General inputs'!$H$38-1),"",Q70/(1+'General inputs'!$H$34)^C70)</f>
        <v>127661.10160389236</v>
      </c>
      <c r="T70" s="109">
        <f>IF(LEFT(D70,4)*1&lt;LEFT('General inputs'!$I$18,4)*1+1,"",SUMIF('Reduction amount'!$D$38:$D$67,$D70,'Reduction amount'!$E$38:$E$67))</f>
        <v>100109.41505433744</v>
      </c>
      <c r="U70" s="100">
        <f>IF(OR(LEFT(D70,4)*1&lt;LEFT('General inputs'!$I$16,4)*1,LEFT(D70,4)*1&gt;LEFT('General inputs'!$I$16,4)+'General inputs'!$H$38-1),"",T70/(1+'General inputs'!$H$34)^C70)</f>
        <v>96166.585066606582</v>
      </c>
      <c r="V70" s="61"/>
    </row>
    <row r="71" spans="2:22" x14ac:dyDescent="0.2">
      <c r="B71" s="60"/>
      <c r="C71" s="52">
        <f>IF(D71='General inputs'!$I$16,0,IF(D71&lt;'General inputs'!$I$16,C72-1,C70+1))</f>
        <v>2</v>
      </c>
      <c r="D71" s="52" t="str">
        <f t="shared" si="1"/>
        <v>2027-28</v>
      </c>
      <c r="E71" s="100">
        <f>IF(LEFT(D71,4)*1&gt;LEFT('General inputs'!$I$16,4)+'General inputs'!$H$38-1,"",'ET inputs'!D44)</f>
        <v>280.49979525083478</v>
      </c>
      <c r="F71" s="100">
        <f>IF(LEFT(D71,4)*1&gt;LEFT('General inputs'!$I$16,4)+'General inputs'!$H$38-1,"",E71/(1+'General inputs'!$H$30)^C71)</f>
        <v>264.39795951629259</v>
      </c>
      <c r="G71" s="100">
        <f>IF(LEFT(D71,4)*1&gt;LEFT('General inputs'!$I$16,4)+'General inputs'!$H$38-1,"",E71/(1+'General inputs'!$H$32)^C71)</f>
        <v>258.83982025230193</v>
      </c>
      <c r="H71" s="100">
        <f>IF(LEFT(D71,4)*1&lt;LEFT('General inputs'!$I$16,4)*1,"",IF(LEFT(D71,4)*1&gt;LEFT('General inputs'!$I$16,4)+'General inputs'!$H$38-1,"",E71/(1+'General inputs'!$H$34)^C71))</f>
        <v>258.83982025230193</v>
      </c>
      <c r="J71" s="104"/>
      <c r="K71" s="104"/>
      <c r="L71" s="100" t="str">
        <f>IF(LEFT(D71,4)*1&gt;LEFT('General inputs'!$I$18,4)*1,"",SUMIF('Post-1996 commissioned assets'!$F$22:$F$540,$D71,'Post-1996 commissioned assets'!$P$22:$P$540))</f>
        <v/>
      </c>
      <c r="M71" s="100" t="str">
        <f>IF(L71="","",L71/(1+'General inputs'!$H$32)^C71)</f>
        <v/>
      </c>
      <c r="N71" s="100">
        <f>IF(LEFT(D71,4)*1&lt;LEFT('General inputs'!$I$18,4)*1+1,"",SUMIF('Uncommissioned assets'!$F$22:$F$55,$D71,'Uncommissioned assets'!$P$22:$P$55))</f>
        <v>0</v>
      </c>
      <c r="O71" s="100">
        <f>IF(N71="","",N71/(1+'General inputs'!$H$32)^C71)</f>
        <v>0</v>
      </c>
      <c r="Q71" s="109">
        <f>IF(LEFT(D71,4)*1&lt;LEFT('General inputs'!$I$18,4)*1+1,"",SUMIF('Reduction amount'!$J$38:$J$67,$D71,'Reduction amount'!$K$38:$K$67))</f>
        <v>231686.33219270455</v>
      </c>
      <c r="R71" s="100">
        <f>IF(OR(LEFT(D71,4)*1&lt;LEFT('General inputs'!$I$16,4)*1,LEFT(D71,4)*1&gt;LEFT('General inputs'!$I$16,4)+'General inputs'!$H$38-1),"",Q71/(1+'General inputs'!$H$34)^C71)</f>
        <v>213795.69466725408</v>
      </c>
      <c r="T71" s="109">
        <f>IF(LEFT(D71,4)*1&lt;LEFT('General inputs'!$I$18,4)*1+1,"",SUMIF('Reduction amount'!$D$38:$D$67,$D71,'Reduction amount'!$E$38:$E$67))</f>
        <v>168943.78451231401</v>
      </c>
      <c r="U71" s="100">
        <f>IF(OR(LEFT(D71,4)*1&lt;LEFT('General inputs'!$I$16,4)*1,LEFT(D71,4)*1&gt;LEFT('General inputs'!$I$16,4)+'General inputs'!$H$38-1),"",T71/(1+'General inputs'!$H$34)^C71)</f>
        <v>155898.07748988312</v>
      </c>
      <c r="V71" s="61"/>
    </row>
    <row r="72" spans="2:22" x14ac:dyDescent="0.2">
      <c r="B72" s="60"/>
      <c r="C72" s="52">
        <f>IF(D72='General inputs'!$I$16,0,IF(D72&lt;'General inputs'!$I$16,C73-1,C71+1))</f>
        <v>3</v>
      </c>
      <c r="D72" s="52" t="str">
        <f t="shared" si="1"/>
        <v>2028-29</v>
      </c>
      <c r="E72" s="100">
        <f>IF(LEFT(D72,4)*1&gt;LEFT('General inputs'!$I$16,4)+'General inputs'!$H$38-1,"",'ET inputs'!D45)</f>
        <v>273.05856681159366</v>
      </c>
      <c r="F72" s="100">
        <f>IF(LEFT(D72,4)*1&gt;LEFT('General inputs'!$I$16,4)+'General inputs'!$H$38-1,"",E72/(1+'General inputs'!$H$30)^C72)</f>
        <v>249.88726993255742</v>
      </c>
      <c r="G72" s="100">
        <f>IF(LEFT(D72,4)*1&gt;LEFT('General inputs'!$I$16,4)+'General inputs'!$H$38-1,"",E72/(1+'General inputs'!$H$32)^C72)</f>
        <v>242.04918122799776</v>
      </c>
      <c r="H72" s="100">
        <f>IF(LEFT(D72,4)*1&lt;LEFT('General inputs'!$I$16,4)*1,"",IF(LEFT(D72,4)*1&gt;LEFT('General inputs'!$I$16,4)+'General inputs'!$H$38-1,"",E72/(1+'General inputs'!$H$34)^C72))</f>
        <v>242.04918122799776</v>
      </c>
      <c r="J72" s="104"/>
      <c r="K72" s="104"/>
      <c r="L72" s="100" t="str">
        <f>IF(LEFT(D72,4)*1&gt;LEFT('General inputs'!$I$18,4)*1,"",SUMIF('Post-1996 commissioned assets'!$F$22:$F$540,$D72,'Post-1996 commissioned assets'!$P$22:$P$540))</f>
        <v/>
      </c>
      <c r="M72" s="100" t="str">
        <f>IF(L72="","",L72/(1+'General inputs'!$H$32)^C72)</f>
        <v/>
      </c>
      <c r="N72" s="100">
        <f>IF(LEFT(D72,4)*1&lt;LEFT('General inputs'!$I$18,4)*1+1,"",SUMIF('Uncommissioned assets'!$F$22:$F$55,$D72,'Uncommissioned assets'!$P$22:$P$55))</f>
        <v>83897524.96765846</v>
      </c>
      <c r="O72" s="100">
        <f>IF(N72="","",N72/(1+'General inputs'!$H$32)^C72)</f>
        <v>74369859.413672894</v>
      </c>
      <c r="Q72" s="109">
        <f>IF(LEFT(D72,4)*1&lt;LEFT('General inputs'!$I$18,4)*1+1,"",SUMIF('Reduction amount'!$J$38:$J$67,$D72,'Reduction amount'!$K$38:$K$67))</f>
        <v>415388.23174037482</v>
      </c>
      <c r="R72" s="100">
        <f>IF(OR(LEFT(D72,4)*1&lt;LEFT('General inputs'!$I$16,4)*1,LEFT(D72,4)*1&gt;LEFT('General inputs'!$I$16,4)+'General inputs'!$H$38-1),"",Q72/(1+'General inputs'!$H$34)^C72)</f>
        <v>368215.44388269511</v>
      </c>
      <c r="T72" s="109">
        <f>IF(LEFT(D72,4)*1&lt;LEFT('General inputs'!$I$18,4)*1+1,"",SUMIF('Reduction amount'!$D$38:$D$67,$D72,'Reduction amount'!$E$38:$E$67))</f>
        <v>233806.7212772964</v>
      </c>
      <c r="U72" s="100">
        <f>IF(OR(LEFT(D72,4)*1&lt;LEFT('General inputs'!$I$16,4)*1,LEFT(D72,4)*1&gt;LEFT('General inputs'!$I$16,4)+'General inputs'!$H$38-1),"",T72/(1+'General inputs'!$H$34)^C72)</f>
        <v>207254.89813993059</v>
      </c>
      <c r="V72" s="61"/>
    </row>
    <row r="73" spans="2:22" x14ac:dyDescent="0.2">
      <c r="B73" s="60"/>
      <c r="C73" s="52">
        <f>IF(D73='General inputs'!$I$16,0,IF(D73&lt;'General inputs'!$I$16,C74-1,C72+1))</f>
        <v>4</v>
      </c>
      <c r="D73" s="52" t="str">
        <f t="shared" si="1"/>
        <v>2029-30</v>
      </c>
      <c r="E73" s="100">
        <f>IF(LEFT(D73,4)*1&gt;LEFT('General inputs'!$I$16,4)+'General inputs'!$H$38-1,"",'ET inputs'!D46)</f>
        <v>307.56402859787761</v>
      </c>
      <c r="F73" s="100">
        <f>IF(LEFT(D73,4)*1&gt;LEFT('General inputs'!$I$16,4)+'General inputs'!$H$38-1,"",E73/(1+'General inputs'!$H$30)^C73)</f>
        <v>273.26665581398481</v>
      </c>
      <c r="G73" s="100">
        <f>IF(LEFT(D73,4)*1&gt;LEFT('General inputs'!$I$16,4)+'General inputs'!$H$38-1,"",E73/(1+'General inputs'!$H$32)^C73)</f>
        <v>261.89826586335732</v>
      </c>
      <c r="H73" s="100">
        <f>IF(LEFT(D73,4)*1&lt;LEFT('General inputs'!$I$16,4)*1,"",IF(LEFT(D73,4)*1&gt;LEFT('General inputs'!$I$16,4)+'General inputs'!$H$38-1,"",E73/(1+'General inputs'!$H$34)^C73))</f>
        <v>261.89826586335732</v>
      </c>
      <c r="J73" s="104"/>
      <c r="K73" s="104"/>
      <c r="L73" s="100" t="str">
        <f>IF(LEFT(D73,4)*1&gt;LEFT('General inputs'!$I$18,4)*1,"",SUMIF('Post-1996 commissioned assets'!$F$22:$F$540,$D73,'Post-1996 commissioned assets'!$P$22:$P$540))</f>
        <v/>
      </c>
      <c r="M73" s="100" t="str">
        <f>IF(L73="","",L73/(1+'General inputs'!$H$32)^C73)</f>
        <v/>
      </c>
      <c r="N73" s="100">
        <f>IF(LEFT(D73,4)*1&lt;LEFT('General inputs'!$I$18,4)*1+1,"",SUMIF('Uncommissioned assets'!$F$22:$F$55,$D73,'Uncommissioned assets'!$P$22:$P$55))</f>
        <v>45271436.739974119</v>
      </c>
      <c r="O73" s="100">
        <f>IF(N73="","",N73/(1+'General inputs'!$H$32)^C73)</f>
        <v>38549731.675038025</v>
      </c>
      <c r="Q73" s="109">
        <f>IF(LEFT(D73,4)*1&lt;LEFT('General inputs'!$I$18,4)*1+1,"",SUMIF('Reduction amount'!$J$38:$J$67,$D73,'Reduction amount'!$K$38:$K$67))</f>
        <v>585115.17536734371</v>
      </c>
      <c r="R73" s="100">
        <f>IF(OR(LEFT(D73,4)*1&lt;LEFT('General inputs'!$I$16,4)*1,LEFT(D73,4)*1&gt;LEFT('General inputs'!$I$16,4)+'General inputs'!$H$38-1),"",Q73/(1+'General inputs'!$H$34)^C73)</f>
        <v>498239.8314186309</v>
      </c>
      <c r="T73" s="109">
        <f>IF(LEFT(D73,4)*1&lt;LEFT('General inputs'!$I$18,4)*1+1,"",SUMIF('Reduction amount'!$D$38:$D$67,$D73,'Reduction amount'!$E$38:$E$67))</f>
        <v>304482.31265643245</v>
      </c>
      <c r="U73" s="100">
        <f>IF(OR(LEFT(D73,4)*1&lt;LEFT('General inputs'!$I$16,4)*1,LEFT(D73,4)*1&gt;LEFT('General inputs'!$I$16,4)+'General inputs'!$H$38-1),"",T73/(1+'General inputs'!$H$34)^C73)</f>
        <v>259274.1096360269</v>
      </c>
      <c r="V73" s="61"/>
    </row>
    <row r="74" spans="2:22" x14ac:dyDescent="0.2">
      <c r="B74" s="60"/>
      <c r="C74" s="52">
        <f>IF(D74='General inputs'!$I$16,0,IF(D74&lt;'General inputs'!$I$16,C75-1,C73+1))</f>
        <v>5</v>
      </c>
      <c r="D74" s="52" t="str">
        <f t="shared" si="1"/>
        <v>2030-31</v>
      </c>
      <c r="E74" s="100">
        <f>IF(LEFT(D74,4)*1&gt;LEFT('General inputs'!$I$16,4)+'General inputs'!$H$38-1,"",'ET inputs'!D47)</f>
        <v>244.62873145609697</v>
      </c>
      <c r="F74" s="100">
        <f>IF(LEFT(D74,4)*1&gt;LEFT('General inputs'!$I$16,4)+'General inputs'!$H$38-1,"",E74/(1+'General inputs'!$H$30)^C74)</f>
        <v>211.01889266678393</v>
      </c>
      <c r="G74" s="100">
        <f>IF(LEFT(D74,4)*1&gt;LEFT('General inputs'!$I$16,4)+'General inputs'!$H$38-1,"",E74/(1+'General inputs'!$H$32)^C74)</f>
        <v>200.1030994983133</v>
      </c>
      <c r="H74" s="100">
        <f>IF(LEFT(D74,4)*1&lt;LEFT('General inputs'!$I$16,4)*1,"",IF(LEFT(D74,4)*1&gt;LEFT('General inputs'!$I$16,4)+'General inputs'!$H$38-1,"",E74/(1+'General inputs'!$H$34)^C74))</f>
        <v>200.1030994983133</v>
      </c>
      <c r="J74" s="104"/>
      <c r="K74" s="104"/>
      <c r="L74" s="100" t="str">
        <f>IF(LEFT(D74,4)*1&gt;LEFT('General inputs'!$I$18,4)*1,"",SUMIF('Post-1996 commissioned assets'!$F$22:$F$540,$D74,'Post-1996 commissioned assets'!$P$22:$P$540))</f>
        <v/>
      </c>
      <c r="M74" s="100" t="str">
        <f>IF(L74="","",L74/(1+'General inputs'!$H$32)^C74)</f>
        <v/>
      </c>
      <c r="N74" s="100">
        <f>IF(LEFT(D74,4)*1&lt;LEFT('General inputs'!$I$18,4)*1+1,"",SUMIF('Uncommissioned assets'!$F$22:$F$55,$D74,'Uncommissioned assets'!$P$22:$P$55))</f>
        <v>0</v>
      </c>
      <c r="O74" s="100">
        <f>IF(N74="","",N74/(1+'General inputs'!$H$32)^C74)</f>
        <v>0</v>
      </c>
      <c r="Q74" s="109">
        <f>IF(LEFT(D74,4)*1&lt;LEFT('General inputs'!$I$18,4)*1+1,"",SUMIF('Reduction amount'!$J$38:$J$67,$D74,'Reduction amount'!$K$38:$K$67))</f>
        <v>761648.74056251952</v>
      </c>
      <c r="R74" s="100">
        <f>IF(OR(LEFT(D74,4)*1&lt;LEFT('General inputs'!$I$16,4)*1,LEFT(D74,4)*1&gt;LEFT('General inputs'!$I$16,4)+'General inputs'!$H$38-1),"",Q74/(1+'General inputs'!$H$34)^C74)</f>
        <v>623018.69779715256</v>
      </c>
      <c r="T74" s="109">
        <f>IF(LEFT(D74,4)*1&lt;LEFT('General inputs'!$I$18,4)*1+1,"",SUMIF('Reduction amount'!$D$38:$D$67,$D74,'Reduction amount'!$E$38:$E$67))</f>
        <v>358190.59740976186</v>
      </c>
      <c r="U74" s="100">
        <f>IF(OR(LEFT(D74,4)*1&lt;LEFT('General inputs'!$I$16,4)*1,LEFT(D74,4)*1&gt;LEFT('General inputs'!$I$16,4)+'General inputs'!$H$38-1),"",T74/(1+'General inputs'!$H$34)^C74)</f>
        <v>292995.21902524045</v>
      </c>
      <c r="V74" s="61"/>
    </row>
    <row r="75" spans="2:22" x14ac:dyDescent="0.2">
      <c r="B75" s="60"/>
      <c r="C75" s="52">
        <f>IF(D75='General inputs'!$I$16,0,IF(D75&lt;'General inputs'!$I$16,C76-1,C74+1))</f>
        <v>6</v>
      </c>
      <c r="D75" s="52" t="str">
        <f t="shared" si="1"/>
        <v>2031-32</v>
      </c>
      <c r="E75" s="100">
        <f>IF(LEFT(D75,4)*1&gt;LEFT('General inputs'!$I$16,4)+'General inputs'!$H$38-1,"",'ET inputs'!D48)</f>
        <v>146.6314956418322</v>
      </c>
      <c r="F75" s="100">
        <f>IF(LEFT(D75,4)*1&gt;LEFT('General inputs'!$I$16,4)+'General inputs'!$H$38-1,"",E75/(1+'General inputs'!$H$30)^C75)</f>
        <v>122.80156913401235</v>
      </c>
      <c r="G75" s="100">
        <f>IF(LEFT(D75,4)*1&gt;LEFT('General inputs'!$I$16,4)+'General inputs'!$H$38-1,"",E75/(1+'General inputs'!$H$32)^C75)</f>
        <v>115.2186778516005</v>
      </c>
      <c r="H75" s="100">
        <f>IF(LEFT(D75,4)*1&lt;LEFT('General inputs'!$I$16,4)*1,"",IF(LEFT(D75,4)*1&gt;LEFT('General inputs'!$I$16,4)+'General inputs'!$H$38-1,"",E75/(1+'General inputs'!$H$34)^C75))</f>
        <v>115.2186778516005</v>
      </c>
      <c r="J75" s="104"/>
      <c r="K75" s="104"/>
      <c r="L75" s="100" t="str">
        <f>IF(LEFT(D75,4)*1&gt;LEFT('General inputs'!$I$18,4)*1,"",SUMIF('Post-1996 commissioned assets'!$F$22:$F$540,$D75,'Post-1996 commissioned assets'!$P$22:$P$540))</f>
        <v/>
      </c>
      <c r="M75" s="100" t="str">
        <f>IF(L75="","",L75/(1+'General inputs'!$H$32)^C75)</f>
        <v/>
      </c>
      <c r="N75" s="100">
        <f>IF(LEFT(D75,4)*1&lt;LEFT('General inputs'!$I$18,4)*1+1,"",SUMIF('Uncommissioned assets'!$F$22:$F$55,$D75,'Uncommissioned assets'!$P$22:$P$55))</f>
        <v>0</v>
      </c>
      <c r="O75" s="100">
        <f>IF(N75="","",N75/(1+'General inputs'!$H$32)^C75)</f>
        <v>0</v>
      </c>
      <c r="Q75" s="109">
        <f>IF(LEFT(D75,4)*1&lt;LEFT('General inputs'!$I$18,4)*1+1,"",SUMIF('Reduction amount'!$J$38:$J$67,$D75,'Reduction amount'!$K$38:$K$67))</f>
        <v>886458.43177442555</v>
      </c>
      <c r="R75" s="100">
        <f>IF(OR(LEFT(D75,4)*1&lt;LEFT('General inputs'!$I$16,4)*1,LEFT(D75,4)*1&gt;LEFT('General inputs'!$I$16,4)+'General inputs'!$H$38-1),"",Q75/(1+'General inputs'!$H$34)^C75)</f>
        <v>696552.72922357195</v>
      </c>
      <c r="T75" s="109">
        <f>IF(LEFT(D75,4)*1&lt;LEFT('General inputs'!$I$18,4)*1+1,"",SUMIF('Reduction amount'!$D$38:$D$67,$D75,'Reduction amount'!$E$38:$E$67))</f>
        <v>388665.26610425365</v>
      </c>
      <c r="U75" s="100">
        <f>IF(OR(LEFT(D75,4)*1&lt;LEFT('General inputs'!$I$16,4)*1,LEFT(D75,4)*1&gt;LEFT('General inputs'!$I$16,4)+'General inputs'!$H$38-1),"",T75/(1+'General inputs'!$H$34)^C75)</f>
        <v>305401.632107454</v>
      </c>
      <c r="V75" s="61"/>
    </row>
    <row r="76" spans="2:22" x14ac:dyDescent="0.2">
      <c r="B76" s="60"/>
      <c r="C76" s="52">
        <f>IF(D76='General inputs'!$I$16,0,IF(D76&lt;'General inputs'!$I$16,C77-1,C75+1))</f>
        <v>7</v>
      </c>
      <c r="D76" s="52" t="str">
        <f t="shared" si="1"/>
        <v>2032-33</v>
      </c>
      <c r="E76" s="100">
        <f>IF(LEFT(D76,4)*1&gt;LEFT('General inputs'!$I$16,4)+'General inputs'!$H$38-1,"",'ET inputs'!D49)</f>
        <v>194.40205497694043</v>
      </c>
      <c r="F76" s="100">
        <f>IF(LEFT(D76,4)*1&gt;LEFT('General inputs'!$I$16,4)+'General inputs'!$H$38-1,"",E76/(1+'General inputs'!$H$30)^C76)</f>
        <v>158.06666068945424</v>
      </c>
      <c r="G76" s="100">
        <f>IF(LEFT(D76,4)*1&gt;LEFT('General inputs'!$I$16,4)+'General inputs'!$H$38-1,"",E76/(1+'General inputs'!$H$32)^C76)</f>
        <v>146.73906411343557</v>
      </c>
      <c r="H76" s="100">
        <f>IF(LEFT(D76,4)*1&lt;LEFT('General inputs'!$I$16,4)*1,"",IF(LEFT(D76,4)*1&gt;LEFT('General inputs'!$I$16,4)+'General inputs'!$H$38-1,"",E76/(1+'General inputs'!$H$34)^C76))</f>
        <v>146.73906411343557</v>
      </c>
      <c r="J76" s="104"/>
      <c r="K76" s="104"/>
      <c r="L76" s="100" t="str">
        <f>IF(LEFT(D76,4)*1&gt;LEFT('General inputs'!$I$18,4)*1,"",SUMIF('Post-1996 commissioned assets'!$F$22:$F$540,$D76,'Post-1996 commissioned assets'!$P$22:$P$540))</f>
        <v/>
      </c>
      <c r="M76" s="100" t="str">
        <f>IF(L76="","",L76/(1+'General inputs'!$H$32)^C76)</f>
        <v/>
      </c>
      <c r="N76" s="100">
        <f>IF(LEFT(D76,4)*1&lt;LEFT('General inputs'!$I$18,4)*1+1,"",SUMIF('Uncommissioned assets'!$F$22:$F$55,$D76,'Uncommissioned assets'!$P$22:$P$55))</f>
        <v>0</v>
      </c>
      <c r="O76" s="100">
        <f>IF(N76="","",N76/(1+'General inputs'!$H$32)^C76)</f>
        <v>0</v>
      </c>
      <c r="Q76" s="109">
        <f>IF(LEFT(D76,4)*1&lt;LEFT('General inputs'!$I$18,4)*1+1,"",SUMIF('Reduction amount'!$J$38:$J$67,$D76,'Reduction amount'!$K$38:$K$67))</f>
        <v>973940.80283569393</v>
      </c>
      <c r="R76" s="100">
        <f>IF(OR(LEFT(D76,4)*1&lt;LEFT('General inputs'!$I$16,4)*1,LEFT(D76,4)*1&gt;LEFT('General inputs'!$I$16,4)+'General inputs'!$H$38-1),"",Q76/(1+'General inputs'!$H$34)^C76)</f>
        <v>735152.52668985468</v>
      </c>
      <c r="T76" s="109">
        <f>IF(LEFT(D76,4)*1&lt;LEFT('General inputs'!$I$18,4)*1+1,"",SUMIF('Reduction amount'!$D$38:$D$67,$D76,'Reduction amount'!$E$38:$E$67))</f>
        <v>428633.88434181619</v>
      </c>
      <c r="U76" s="100">
        <f>IF(OR(LEFT(D76,4)*1&lt;LEFT('General inputs'!$I$16,4)*1,LEFT(D76,4)*1&gt;LEFT('General inputs'!$I$16,4)+'General inputs'!$H$38-1),"",T76/(1+'General inputs'!$H$34)^C76)</f>
        <v>323542.54199157225</v>
      </c>
      <c r="V76" s="61"/>
    </row>
    <row r="77" spans="2:22" x14ac:dyDescent="0.2">
      <c r="B77" s="60"/>
      <c r="C77" s="52">
        <f>IF(D77='General inputs'!$I$16,0,IF(D77&lt;'General inputs'!$I$16,C78-1,C76+1))</f>
        <v>8</v>
      </c>
      <c r="D77" s="52" t="str">
        <f t="shared" si="1"/>
        <v>2033-34</v>
      </c>
      <c r="E77" s="100">
        <f>IF(LEFT(D77,4)*1&gt;LEFT('General inputs'!$I$16,4)+'General inputs'!$H$38-1,"",'ET inputs'!D50)</f>
        <v>153.90474790341796</v>
      </c>
      <c r="F77" s="100">
        <f>IF(LEFT(D77,4)*1&gt;LEFT('General inputs'!$I$16,4)+'General inputs'!$H$38-1,"",E77/(1+'General inputs'!$H$30)^C77)</f>
        <v>121.49382919971649</v>
      </c>
      <c r="G77" s="100">
        <f>IF(LEFT(D77,4)*1&gt;LEFT('General inputs'!$I$16,4)+'General inputs'!$H$38-1,"",E77/(1+'General inputs'!$H$32)^C77)</f>
        <v>111.59537136698086</v>
      </c>
      <c r="H77" s="100">
        <f>IF(LEFT(D77,4)*1&lt;LEFT('General inputs'!$I$16,4)*1,"",IF(LEFT(D77,4)*1&gt;LEFT('General inputs'!$I$16,4)+'General inputs'!$H$38-1,"",E77/(1+'General inputs'!$H$34)^C77))</f>
        <v>111.59537136698086</v>
      </c>
      <c r="J77" s="104"/>
      <c r="K77" s="104"/>
      <c r="L77" s="100" t="str">
        <f>IF(LEFT(D77,4)*1&gt;LEFT('General inputs'!$I$18,4)*1,"",SUMIF('Post-1996 commissioned assets'!$F$22:$F$540,$D77,'Post-1996 commissioned assets'!$P$22:$P$540))</f>
        <v/>
      </c>
      <c r="M77" s="100" t="str">
        <f>IF(L77="","",L77/(1+'General inputs'!$H$32)^C77)</f>
        <v/>
      </c>
      <c r="N77" s="100">
        <f>IF(LEFT(D77,4)*1&lt;LEFT('General inputs'!$I$18,4)*1+1,"",SUMIF('Uncommissioned assets'!$F$22:$F$55,$D77,'Uncommissioned assets'!$P$22:$P$55))</f>
        <v>0</v>
      </c>
      <c r="O77" s="100">
        <f>IF(N77="","",N77/(1+'General inputs'!$H$32)^C77)</f>
        <v>0</v>
      </c>
      <c r="Q77" s="109">
        <f>IF(LEFT(D77,4)*1&lt;LEFT('General inputs'!$I$18,4)*1+1,"",SUMIF('Reduction amount'!$J$38:$J$67,$D77,'Reduction amount'!$K$38:$K$67))</f>
        <v>1075961.7948001323</v>
      </c>
      <c r="R77" s="100">
        <f>IF(OR(LEFT(D77,4)*1&lt;LEFT('General inputs'!$I$16,4)*1,LEFT(D77,4)*1&gt;LEFT('General inputs'!$I$16,4)+'General inputs'!$H$38-1),"",Q77/(1+'General inputs'!$H$34)^C77)</f>
        <v>780173.17661151511</v>
      </c>
      <c r="T77" s="109">
        <f>IF(LEFT(D77,4)*1&lt;LEFT('General inputs'!$I$18,4)*1+1,"",SUMIF('Reduction amount'!$D$38:$D$67,$D77,'Reduction amount'!$E$38:$E$67))</f>
        <v>458955.88568869315</v>
      </c>
      <c r="U77" s="100">
        <f>IF(OR(LEFT(D77,4)*1&lt;LEFT('General inputs'!$I$16,4)*1,LEFT(D77,4)*1&gt;LEFT('General inputs'!$I$16,4)+'General inputs'!$H$38-1),"",T77/(1+'General inputs'!$H$34)^C77)</f>
        <v>332786.04592908645</v>
      </c>
      <c r="V77" s="61"/>
    </row>
    <row r="78" spans="2:22" x14ac:dyDescent="0.2">
      <c r="B78" s="60"/>
      <c r="C78" s="52">
        <f>IF(D78='General inputs'!$I$16,0,IF(D78&lt;'General inputs'!$I$16,C79-1,C77+1))</f>
        <v>9</v>
      </c>
      <c r="D78" s="52" t="str">
        <f t="shared" si="1"/>
        <v>2034-35</v>
      </c>
      <c r="E78" s="100">
        <f>IF(LEFT(D78,4)*1&gt;LEFT('General inputs'!$I$16,4)+'General inputs'!$H$38-1,"",'ET inputs'!D51)</f>
        <v>127.72280289503543</v>
      </c>
      <c r="F78" s="100">
        <f>IF(LEFT(D78,4)*1&gt;LEFT('General inputs'!$I$16,4)+'General inputs'!$H$38-1,"",E78/(1+'General inputs'!$H$30)^C78)</f>
        <v>97.888893240582192</v>
      </c>
      <c r="G78" s="100">
        <f>IF(LEFT(D78,4)*1&gt;LEFT('General inputs'!$I$16,4)+'General inputs'!$H$38-1,"",E78/(1+'General inputs'!$H$32)^C78)</f>
        <v>88.963502960731418</v>
      </c>
      <c r="H78" s="100">
        <f>IF(LEFT(D78,4)*1&lt;LEFT('General inputs'!$I$16,4)*1,"",IF(LEFT(D78,4)*1&gt;LEFT('General inputs'!$I$16,4)+'General inputs'!$H$38-1,"",E78/(1+'General inputs'!$H$34)^C78))</f>
        <v>88.963502960731418</v>
      </c>
      <c r="J78" s="104"/>
      <c r="K78" s="104"/>
      <c r="L78" s="100" t="str">
        <f>IF(LEFT(D78,4)*1&gt;LEFT('General inputs'!$I$18,4)*1,"",SUMIF('Post-1996 commissioned assets'!$F$22:$F$540,$D78,'Post-1996 commissioned assets'!$P$22:$P$540))</f>
        <v/>
      </c>
      <c r="M78" s="100" t="str">
        <f>IF(L78="","",L78/(1+'General inputs'!$H$32)^C78)</f>
        <v/>
      </c>
      <c r="N78" s="100">
        <f>IF(LEFT(D78,4)*1&lt;LEFT('General inputs'!$I$18,4)*1+1,"",SUMIF('Uncommissioned assets'!$F$22:$F$55,$D78,'Uncommissioned assets'!$P$22:$P$55))</f>
        <v>0</v>
      </c>
      <c r="O78" s="100">
        <f>IF(N78="","",N78/(1+'General inputs'!$H$32)^C78)</f>
        <v>0</v>
      </c>
      <c r="Q78" s="109">
        <f>IF(LEFT(D78,4)*1&lt;LEFT('General inputs'!$I$18,4)*1+1,"",SUMIF('Reduction amount'!$J$38:$J$67,$D78,'Reduction amount'!$K$38:$K$67))</f>
        <v>1158329.6971698615</v>
      </c>
      <c r="R78" s="100">
        <f>IF(OR(LEFT(D78,4)*1&lt;LEFT('General inputs'!$I$16,4)*1,LEFT(D78,4)*1&gt;LEFT('General inputs'!$I$16,4)+'General inputs'!$H$38-1),"",Q78/(1+'General inputs'!$H$34)^C78)</f>
        <v>806818.08657426201</v>
      </c>
      <c r="T78" s="109">
        <f>IF(LEFT(D78,4)*1&lt;LEFT('General inputs'!$I$18,4)*1+1,"",SUMIF('Reduction amount'!$D$38:$D$67,$D78,'Reduction amount'!$E$38:$E$67))</f>
        <v>483098.53602567443</v>
      </c>
      <c r="U78" s="100">
        <f>IF(OR(LEFT(D78,4)*1&lt;LEFT('General inputs'!$I$16,4)*1,LEFT(D78,4)*1&gt;LEFT('General inputs'!$I$16,4)+'General inputs'!$H$38-1),"",T78/(1+'General inputs'!$H$34)^C78)</f>
        <v>336495.41871834116</v>
      </c>
      <c r="V78" s="61"/>
    </row>
    <row r="79" spans="2:22" x14ac:dyDescent="0.2">
      <c r="B79" s="60"/>
      <c r="C79" s="52">
        <f>IF(D79='General inputs'!$I$16,0,IF(D79&lt;'General inputs'!$I$16,C80-1,C78+1))</f>
        <v>10</v>
      </c>
      <c r="D79" s="52" t="str">
        <f t="shared" si="1"/>
        <v>2035-36</v>
      </c>
      <c r="E79" s="100">
        <f>IF(LEFT(D79,4)*1&gt;LEFT('General inputs'!$I$16,4)+'General inputs'!$H$38-1,"",'ET inputs'!D52)</f>
        <v>116.69622321056104</v>
      </c>
      <c r="F79" s="100">
        <f>IF(LEFT(D79,4)*1&gt;LEFT('General inputs'!$I$16,4)+'General inputs'!$H$38-1,"",E79/(1+'General inputs'!$H$30)^C79)</f>
        <v>86.83294958240846</v>
      </c>
      <c r="G79" s="100">
        <f>IF(LEFT(D79,4)*1&gt;LEFT('General inputs'!$I$16,4)+'General inputs'!$H$38-1,"",E79/(1+'General inputs'!$H$32)^C79)</f>
        <v>78.081744100355351</v>
      </c>
      <c r="H79" s="100">
        <f>IF(LEFT(D79,4)*1&lt;LEFT('General inputs'!$I$16,4)*1,"",IF(LEFT(D79,4)*1&gt;LEFT('General inputs'!$I$16,4)+'General inputs'!$H$38-1,"",E79/(1+'General inputs'!$H$34)^C79))</f>
        <v>78.081744100355351</v>
      </c>
      <c r="J79" s="104"/>
      <c r="K79" s="104"/>
      <c r="L79" s="100" t="str">
        <f>IF(LEFT(D79,4)*1&gt;LEFT('General inputs'!$I$18,4)*1,"",SUMIF('Post-1996 commissioned assets'!$F$22:$F$540,$D79,'Post-1996 commissioned assets'!$P$22:$P$540))</f>
        <v/>
      </c>
      <c r="M79" s="100" t="str">
        <f>IF(L79="","",L79/(1+'General inputs'!$H$32)^C79)</f>
        <v/>
      </c>
      <c r="N79" s="100">
        <f>IF(LEFT(D79,4)*1&lt;LEFT('General inputs'!$I$18,4)*1+1,"",SUMIF('Uncommissioned assets'!$F$22:$F$55,$D79,'Uncommissioned assets'!$P$22:$P$55))</f>
        <v>0</v>
      </c>
      <c r="O79" s="100">
        <f>IF(N79="","",N79/(1+'General inputs'!$H$32)^C79)</f>
        <v>0</v>
      </c>
      <c r="Q79" s="109">
        <f>IF(LEFT(D79,4)*1&lt;LEFT('General inputs'!$I$18,4)*1+1,"",SUMIF('Reduction amount'!$J$38:$J$67,$D79,'Reduction amount'!$K$38:$K$67))</f>
        <v>1226749.1207121173</v>
      </c>
      <c r="R79" s="100">
        <f>IF(OR(LEFT(D79,4)*1&lt;LEFT('General inputs'!$I$16,4)*1,LEFT(D79,4)*1&gt;LEFT('General inputs'!$I$16,4)+'General inputs'!$H$38-1),"",Q79/(1+'General inputs'!$H$34)^C79)</f>
        <v>820821.00245820766</v>
      </c>
      <c r="T79" s="109">
        <f>IF(LEFT(D79,4)*1&lt;LEFT('General inputs'!$I$18,4)*1+1,"",SUMIF('Reduction amount'!$D$38:$D$67,$D79,'Reduction amount'!$E$38:$E$67))</f>
        <v>507250.79253995616</v>
      </c>
      <c r="U79" s="100">
        <f>IF(OR(LEFT(D79,4)*1&lt;LEFT('General inputs'!$I$16,4)*1,LEFT(D79,4)*1&gt;LEFT('General inputs'!$I$16,4)+'General inputs'!$H$38-1),"",T79/(1+'General inputs'!$H$34)^C79)</f>
        <v>339402.81431681203</v>
      </c>
      <c r="V79" s="61"/>
    </row>
    <row r="80" spans="2:22" x14ac:dyDescent="0.2">
      <c r="B80" s="60"/>
      <c r="C80" s="52">
        <f>IF(D80='General inputs'!$I$16,0,IF(D80&lt;'General inputs'!$I$16,C81-1,C79+1))</f>
        <v>11</v>
      </c>
      <c r="D80" s="52" t="str">
        <f t="shared" si="1"/>
        <v>2036-37</v>
      </c>
      <c r="E80" s="100">
        <f>IF(LEFT(D80,4)*1&gt;LEFT('General inputs'!$I$16,4)+'General inputs'!$H$38-1,"",'ET inputs'!D53)</f>
        <v>67.229719500352999</v>
      </c>
      <c r="F80" s="100">
        <f>IF(LEFT(D80,4)*1&gt;LEFT('General inputs'!$I$16,4)+'General inputs'!$H$38-1,"",E80/(1+'General inputs'!$H$30)^C80)</f>
        <v>48.568179786821716</v>
      </c>
      <c r="G80" s="100">
        <f>IF(LEFT(D80,4)*1&gt;LEFT('General inputs'!$I$16,4)+'General inputs'!$H$38-1,"",E80/(1+'General inputs'!$H$32)^C80)</f>
        <v>43.211891270840027</v>
      </c>
      <c r="H80" s="100">
        <f>IF(LEFT(D80,4)*1&lt;LEFT('General inputs'!$I$16,4)*1,"",IF(LEFT(D80,4)*1&gt;LEFT('General inputs'!$I$16,4)+'General inputs'!$H$38-1,"",E80/(1+'General inputs'!$H$34)^C80))</f>
        <v>43.211891270840027</v>
      </c>
      <c r="J80" s="104"/>
      <c r="K80" s="104"/>
      <c r="L80" s="100" t="str">
        <f>IF(LEFT(D80,4)*1&gt;LEFT('General inputs'!$I$18,4)*1,"",SUMIF('Post-1996 commissioned assets'!$F$22:$F$540,$D80,'Post-1996 commissioned assets'!$P$22:$P$540))</f>
        <v/>
      </c>
      <c r="M80" s="100" t="str">
        <f>IF(L80="","",L80/(1+'General inputs'!$H$32)^C80)</f>
        <v/>
      </c>
      <c r="N80" s="100">
        <f>IF(LEFT(D80,4)*1&lt;LEFT('General inputs'!$I$18,4)*1+1,"",SUMIF('Uncommissioned assets'!$F$22:$F$55,$D80,'Uncommissioned assets'!$P$22:$P$55))</f>
        <v>0</v>
      </c>
      <c r="O80" s="100">
        <f>IF(N80="","",N80/(1+'General inputs'!$H$32)^C80)</f>
        <v>0</v>
      </c>
      <c r="Q80" s="109">
        <f>IF(LEFT(D80,4)*1&lt;LEFT('General inputs'!$I$18,4)*1+1,"",SUMIF('Reduction amount'!$J$38:$J$67,$D80,'Reduction amount'!$K$38:$K$67))</f>
        <v>1288082.2533480998</v>
      </c>
      <c r="R80" s="100">
        <f>IF(OR(LEFT(D80,4)*1&lt;LEFT('General inputs'!$I$16,4)*1,LEFT(D80,4)*1&gt;LEFT('General inputs'!$I$16,4)+'General inputs'!$H$38-1),"",Q80/(1+'General inputs'!$H$34)^C80)</f>
        <v>827914.65877355693</v>
      </c>
      <c r="T80" s="109">
        <f>IF(LEFT(D80,4)*1&lt;LEFT('General inputs'!$I$18,4)*1+1,"",SUMIF('Reduction amount'!$D$38:$D$67,$D80,'Reduction amount'!$E$38:$E$67))</f>
        <v>521061.25119421573</v>
      </c>
      <c r="U80" s="100">
        <f>IF(OR(LEFT(D80,4)*1&lt;LEFT('General inputs'!$I$16,4)*1,LEFT(D80,4)*1&gt;LEFT('General inputs'!$I$16,4)+'General inputs'!$H$38-1),"",T80/(1+'General inputs'!$H$34)^C80)</f>
        <v>334912.03443045885</v>
      </c>
      <c r="V80" s="61"/>
    </row>
    <row r="81" spans="2:22" x14ac:dyDescent="0.2">
      <c r="B81" s="60"/>
      <c r="C81" s="52">
        <f>IF(D81='General inputs'!$I$16,0,IF(D81&lt;'General inputs'!$I$16,C82-1,C80+1))</f>
        <v>12</v>
      </c>
      <c r="D81" s="52" t="str">
        <f t="shared" si="1"/>
        <v>2037-38</v>
      </c>
      <c r="E81" s="100">
        <f>IF(LEFT(D81,4)*1&gt;LEFT('General inputs'!$I$16,4)+'General inputs'!$H$38-1,"",'ET inputs'!D54)</f>
        <v>54.738126310491204</v>
      </c>
      <c r="F81" s="100">
        <f>IF(LEFT(D81,4)*1&gt;LEFT('General inputs'!$I$16,4)+'General inputs'!$H$38-1,"",E81/(1+'General inputs'!$H$30)^C81)</f>
        <v>38.392220473640158</v>
      </c>
      <c r="G81" s="100">
        <f>IF(LEFT(D81,4)*1&gt;LEFT('General inputs'!$I$16,4)+'General inputs'!$H$38-1,"",E81/(1+'General inputs'!$H$32)^C81)</f>
        <v>33.797235139663414</v>
      </c>
      <c r="H81" s="100">
        <f>IF(LEFT(D81,4)*1&lt;LEFT('General inputs'!$I$16,4)*1,"",IF(LEFT(D81,4)*1&gt;LEFT('General inputs'!$I$16,4)+'General inputs'!$H$38-1,"",E81/(1+'General inputs'!$H$34)^C81))</f>
        <v>33.797235139663414</v>
      </c>
      <c r="J81" s="104"/>
      <c r="K81" s="104"/>
      <c r="L81" s="100" t="str">
        <f>IF(LEFT(D81,4)*1&gt;LEFT('General inputs'!$I$18,4)*1,"",SUMIF('Post-1996 commissioned assets'!$F$22:$F$540,$D81,'Post-1996 commissioned assets'!$P$22:$P$540))</f>
        <v/>
      </c>
      <c r="M81" s="100" t="str">
        <f>IF(L81="","",L81/(1+'General inputs'!$H$32)^C81)</f>
        <v/>
      </c>
      <c r="N81" s="100">
        <f>IF(LEFT(D81,4)*1&lt;LEFT('General inputs'!$I$18,4)*1+1,"",SUMIF('Uncommissioned assets'!$F$22:$F$55,$D81,'Uncommissioned assets'!$P$22:$P$55))</f>
        <v>0</v>
      </c>
      <c r="O81" s="100">
        <f>IF(N81="","",N81/(1+'General inputs'!$H$32)^C81)</f>
        <v>0</v>
      </c>
      <c r="Q81" s="109">
        <f>IF(LEFT(D81,4)*1&lt;LEFT('General inputs'!$I$18,4)*1+1,"",SUMIF('Reduction amount'!$J$38:$J$67,$D81,'Reduction amount'!$K$38:$K$67))</f>
        <v>1327394.5884582899</v>
      </c>
      <c r="R81" s="100">
        <f>IF(OR(LEFT(D81,4)*1&lt;LEFT('General inputs'!$I$16,4)*1,LEFT(D81,4)*1&gt;LEFT('General inputs'!$I$16,4)+'General inputs'!$H$38-1),"",Q81/(1+'General inputs'!$H$34)^C81)</f>
        <v>819579.88066250621</v>
      </c>
      <c r="T81" s="109">
        <f>IF(LEFT(D81,4)*1&lt;LEFT('General inputs'!$I$18,4)*1+1,"",SUMIF('Reduction amount'!$D$38:$D$67,$D81,'Reduction amount'!$E$38:$E$67))</f>
        <v>532250.12380399473</v>
      </c>
      <c r="U81" s="100">
        <f>IF(OR(LEFT(D81,4)*1&lt;LEFT('General inputs'!$I$16,4)*1,LEFT(D81,4)*1&gt;LEFT('General inputs'!$I$16,4)+'General inputs'!$H$38-1),"",T81/(1+'General inputs'!$H$34)^C81)</f>
        <v>328629.85636888439</v>
      </c>
      <c r="V81" s="61"/>
    </row>
    <row r="82" spans="2:22" x14ac:dyDescent="0.2">
      <c r="B82" s="60"/>
      <c r="C82" s="52">
        <f>IF(D82='General inputs'!$I$16,0,IF(D82&lt;'General inputs'!$I$16,C83-1,C81+1))</f>
        <v>13</v>
      </c>
      <c r="D82" s="52" t="str">
        <f t="shared" si="1"/>
        <v>2038-39</v>
      </c>
      <c r="E82" s="100">
        <f>IF(LEFT(D82,4)*1&gt;LEFT('General inputs'!$I$16,4)+'General inputs'!$H$38-1,"",'ET inputs'!D55)</f>
        <v>54.351119443617783</v>
      </c>
      <c r="F82" s="100">
        <f>IF(LEFT(D82,4)*1&gt;LEFT('General inputs'!$I$16,4)+'General inputs'!$H$38-1,"",E82/(1+'General inputs'!$H$30)^C82)</f>
        <v>37.010467615260794</v>
      </c>
      <c r="G82" s="100">
        <f>IF(LEFT(D82,4)*1&gt;LEFT('General inputs'!$I$16,4)+'General inputs'!$H$38-1,"",E82/(1+'General inputs'!$H$32)^C82)</f>
        <v>32.236583625320762</v>
      </c>
      <c r="H82" s="100">
        <f>IF(LEFT(D82,4)*1&lt;LEFT('General inputs'!$I$16,4)*1,"",IF(LEFT(D82,4)*1&gt;LEFT('General inputs'!$I$16,4)+'General inputs'!$H$38-1,"",E82/(1+'General inputs'!$H$34)^C82))</f>
        <v>32.236583625320762</v>
      </c>
      <c r="J82" s="104"/>
      <c r="K82" s="104"/>
      <c r="L82" s="100" t="str">
        <f>IF(LEFT(D82,4)*1&gt;LEFT('General inputs'!$I$18,4)*1,"",SUMIF('Post-1996 commissioned assets'!$F$22:$F$540,$D82,'Post-1996 commissioned assets'!$P$22:$P$540))</f>
        <v/>
      </c>
      <c r="M82" s="100" t="str">
        <f>IF(L82="","",L82/(1+'General inputs'!$H$32)^C82)</f>
        <v/>
      </c>
      <c r="N82" s="100">
        <f>IF(LEFT(D82,4)*1&lt;LEFT('General inputs'!$I$18,4)*1+1,"",SUMIF('Uncommissioned assets'!$F$22:$F$55,$D82,'Uncommissioned assets'!$P$22:$P$55))</f>
        <v>0</v>
      </c>
      <c r="O82" s="100">
        <f>IF(N82="","",N82/(1+'General inputs'!$H$32)^C82)</f>
        <v>0</v>
      </c>
      <c r="Q82" s="109">
        <f>IF(LEFT(D82,4)*1&lt;LEFT('General inputs'!$I$18,4)*1+1,"",SUMIF('Reduction amount'!$J$38:$J$67,$D82,'Reduction amount'!$K$38:$K$67))</f>
        <v>1364287.3583695081</v>
      </c>
      <c r="R82" s="100">
        <f>IF(OR(LEFT(D82,4)*1&lt;LEFT('General inputs'!$I$16,4)*1,LEFT(D82,4)*1&gt;LEFT('General inputs'!$I$16,4)+'General inputs'!$H$38-1),"",Q82/(1+'General inputs'!$H$34)^C82)</f>
        <v>809182.29407712747</v>
      </c>
      <c r="T82" s="109">
        <f>IF(LEFT(D82,4)*1&lt;LEFT('General inputs'!$I$18,4)*1+1,"",SUMIF('Reduction amount'!$D$38:$D$67,$D82,'Reduction amount'!$E$38:$E$67))</f>
        <v>543310.91747894173</v>
      </c>
      <c r="U82" s="100">
        <f>IF(OR(LEFT(D82,4)*1&lt;LEFT('General inputs'!$I$16,4)*1,LEFT(D82,4)*1&gt;LEFT('General inputs'!$I$16,4)+'General inputs'!$H$38-1),"",T82/(1+'General inputs'!$H$34)^C82)</f>
        <v>322247.04854568187</v>
      </c>
      <c r="V82" s="61"/>
    </row>
    <row r="83" spans="2:22" x14ac:dyDescent="0.2">
      <c r="B83" s="60"/>
      <c r="C83" s="52">
        <f>IF(D83='General inputs'!$I$16,0,IF(D83&lt;'General inputs'!$I$16,C84-1,C82+1))</f>
        <v>14</v>
      </c>
      <c r="D83" s="52" t="str">
        <f t="shared" si="1"/>
        <v>2039-40</v>
      </c>
      <c r="E83" s="100">
        <f>IF(LEFT(D83,4)*1&gt;LEFT('General inputs'!$I$16,4)+'General inputs'!$H$38-1,"",'ET inputs'!D56)</f>
        <v>53.677104946560192</v>
      </c>
      <c r="F83" s="100">
        <f>IF(LEFT(D83,4)*1&gt;LEFT('General inputs'!$I$16,4)+'General inputs'!$H$38-1,"",E83/(1+'General inputs'!$H$30)^C83)</f>
        <v>35.486889844965631</v>
      </c>
      <c r="G83" s="100">
        <f>IF(LEFT(D83,4)*1&gt;LEFT('General inputs'!$I$16,4)+'General inputs'!$H$38-1,"",E83/(1+'General inputs'!$H$32)^C83)</f>
        <v>30.582914539865921</v>
      </c>
      <c r="H83" s="100">
        <f>IF(LEFT(D83,4)*1&lt;LEFT('General inputs'!$I$16,4)*1,"",IF(LEFT(D83,4)*1&gt;LEFT('General inputs'!$I$16,4)+'General inputs'!$H$38-1,"",E83/(1+'General inputs'!$H$34)^C83))</f>
        <v>30.582914539865921</v>
      </c>
      <c r="J83" s="104"/>
      <c r="K83" s="104"/>
      <c r="L83" s="100" t="str">
        <f>IF(LEFT(D83,4)*1&gt;LEFT('General inputs'!$I$18,4)*1,"",SUMIF('Post-1996 commissioned assets'!$F$22:$F$540,$D83,'Post-1996 commissioned assets'!$P$22:$P$540))</f>
        <v/>
      </c>
      <c r="M83" s="100" t="str">
        <f>IF(L83="","",L83/(1+'General inputs'!$H$32)^C83)</f>
        <v/>
      </c>
      <c r="N83" s="100">
        <f>IF(LEFT(D83,4)*1&lt;LEFT('General inputs'!$I$18,4)*1+1,"",SUMIF('Uncommissioned assets'!$F$22:$F$55,$D83,'Uncommissioned assets'!$P$22:$P$55))</f>
        <v>0</v>
      </c>
      <c r="O83" s="100">
        <f>IF(N83="","",N83/(1+'General inputs'!$H$32)^C83)</f>
        <v>0</v>
      </c>
      <c r="Q83" s="109">
        <f>IF(LEFT(D83,4)*1&lt;LEFT('General inputs'!$I$18,4)*1+1,"",SUMIF('Reduction amount'!$J$38:$J$67,$D83,'Reduction amount'!$K$38:$K$67))</f>
        <v>1401105.1667980216</v>
      </c>
      <c r="R83" s="100">
        <f>IF(OR(LEFT(D83,4)*1&lt;LEFT('General inputs'!$I$16,4)*1,LEFT(D83,4)*1&gt;LEFT('General inputs'!$I$16,4)+'General inputs'!$H$38-1),"",Q83/(1+'General inputs'!$H$34)^C83)</f>
        <v>798289.69204298418</v>
      </c>
      <c r="T83" s="109">
        <f>IF(LEFT(D83,4)*1&lt;LEFT('General inputs'!$I$18,4)*1+1,"",SUMIF('Reduction amount'!$D$38:$D$67,$D83,'Reduction amount'!$E$38:$E$67))</f>
        <v>554186.96509564994</v>
      </c>
      <c r="U83" s="100">
        <f>IF(OR(LEFT(D83,4)*1&lt;LEFT('General inputs'!$I$16,4)*1,LEFT(D83,4)*1&gt;LEFT('General inputs'!$I$16,4)+'General inputs'!$H$38-1),"",T83/(1+'General inputs'!$H$34)^C83)</f>
        <v>315751.98791927483</v>
      </c>
      <c r="V83" s="61"/>
    </row>
    <row r="84" spans="2:22" x14ac:dyDescent="0.2">
      <c r="B84" s="60"/>
      <c r="C84" s="52">
        <f>IF(D84='General inputs'!$I$16,0,IF(D84&lt;'General inputs'!$I$16,C85-1,C83+1))</f>
        <v>15</v>
      </c>
      <c r="D84" s="52" t="str">
        <f t="shared" si="1"/>
        <v>2040-41</v>
      </c>
      <c r="E84" s="100">
        <f>IF(LEFT(D84,4)*1&gt;LEFT('General inputs'!$I$16,4)+'General inputs'!$H$38-1,"",'ET inputs'!D57)</f>
        <v>51.193338979509051</v>
      </c>
      <c r="F84" s="100">
        <f>IF(LEFT(D84,4)*1&gt;LEFT('General inputs'!$I$16,4)+'General inputs'!$H$38-1,"",E84/(1+'General inputs'!$H$30)^C84)</f>
        <v>32.859056251127974</v>
      </c>
      <c r="G84" s="100">
        <f>IF(LEFT(D84,4)*1&gt;LEFT('General inputs'!$I$16,4)+'General inputs'!$H$38-1,"",E84/(1+'General inputs'!$H$32)^C84)</f>
        <v>28.018992422395648</v>
      </c>
      <c r="H84" s="100">
        <f>IF(LEFT(D84,4)*1&lt;LEFT('General inputs'!$I$16,4)*1,"",IF(LEFT(D84,4)*1&gt;LEFT('General inputs'!$I$16,4)+'General inputs'!$H$38-1,"",E84/(1+'General inputs'!$H$34)^C84))</f>
        <v>28.018992422395648</v>
      </c>
      <c r="J84" s="104"/>
      <c r="K84" s="104"/>
      <c r="L84" s="100" t="str">
        <f>IF(LEFT(D84,4)*1&gt;LEFT('General inputs'!$I$18,4)*1,"",SUMIF('Post-1996 commissioned assets'!$F$22:$F$540,$D84,'Post-1996 commissioned assets'!$P$22:$P$540))</f>
        <v/>
      </c>
      <c r="M84" s="100" t="str">
        <f>IF(L84="","",L84/(1+'General inputs'!$H$32)^C84)</f>
        <v/>
      </c>
      <c r="N84" s="100">
        <f>IF(LEFT(D84,4)*1&lt;LEFT('General inputs'!$I$18,4)*1+1,"",SUMIF('Uncommissioned assets'!$F$22:$F$55,$D84,'Uncommissioned assets'!$P$22:$P$55))</f>
        <v>0</v>
      </c>
      <c r="O84" s="100">
        <f>IF(N84="","",N84/(1+'General inputs'!$H$32)^C84)</f>
        <v>0</v>
      </c>
      <c r="Q84" s="109">
        <f>IF(LEFT(D84,4)*1&lt;LEFT('General inputs'!$I$18,4)*1+1,"",SUMIF('Reduction amount'!$J$38:$J$67,$D84,'Reduction amount'!$K$38:$K$67))</f>
        <v>1437469.5162593098</v>
      </c>
      <c r="R84" s="100">
        <f>IF(OR(LEFT(D84,4)*1&lt;LEFT('General inputs'!$I$16,4)*1,LEFT(D84,4)*1&gt;LEFT('General inputs'!$I$16,4)+'General inputs'!$H$38-1),"",Q84/(1+'General inputs'!$H$34)^C84)</f>
        <v>786751.7197816621</v>
      </c>
      <c r="T84" s="109">
        <f>IF(LEFT(D84,4)*1&lt;LEFT('General inputs'!$I$18,4)*1+1,"",SUMIF('Reduction amount'!$D$38:$D$67,$D84,'Reduction amount'!$E$38:$E$67))</f>
        <v>564515.98282168049</v>
      </c>
      <c r="U84" s="100">
        <f>IF(OR(LEFT(D84,4)*1&lt;LEFT('General inputs'!$I$16,4)*1,LEFT(D84,4)*1&gt;LEFT('General inputs'!$I$16,4)+'General inputs'!$H$38-1),"",T84/(1+'General inputs'!$H$34)^C84)</f>
        <v>308969.27921292599</v>
      </c>
      <c r="V84" s="61"/>
    </row>
    <row r="85" spans="2:22" x14ac:dyDescent="0.2">
      <c r="B85" s="60"/>
      <c r="C85" s="52">
        <f>IF(D85='General inputs'!$I$16,0,IF(D85&lt;'General inputs'!$I$16,C86-1,C84+1))</f>
        <v>16</v>
      </c>
      <c r="D85" s="52" t="str">
        <f t="shared" si="1"/>
        <v>2041-42</v>
      </c>
      <c r="E85" s="100">
        <f>IF(LEFT(D85,4)*1&gt;LEFT('General inputs'!$I$16,4)+'General inputs'!$H$38-1,"",'ET inputs'!D58)</f>
        <v>48.808997868913252</v>
      </c>
      <c r="F85" s="100">
        <f>IF(LEFT(D85,4)*1&gt;LEFT('General inputs'!$I$16,4)+'General inputs'!$H$38-1,"",E85/(1+'General inputs'!$H$30)^C85)</f>
        <v>30.416153808371757</v>
      </c>
      <c r="G85" s="100">
        <f>IF(LEFT(D85,4)*1&gt;LEFT('General inputs'!$I$16,4)+'General inputs'!$H$38-1,"",E85/(1+'General inputs'!$H$32)^C85)</f>
        <v>25.661865167697123</v>
      </c>
      <c r="H85" s="100">
        <f>IF(LEFT(D85,4)*1&lt;LEFT('General inputs'!$I$16,4)*1,"",IF(LEFT(D85,4)*1&gt;LEFT('General inputs'!$I$16,4)+'General inputs'!$H$38-1,"",E85/(1+'General inputs'!$H$34)^C85))</f>
        <v>25.661865167697123</v>
      </c>
      <c r="J85" s="104"/>
      <c r="K85" s="104"/>
      <c r="L85" s="100" t="str">
        <f>IF(LEFT(D85,4)*1&gt;LEFT('General inputs'!$I$18,4)*1,"",SUMIF('Post-1996 commissioned assets'!$F$22:$F$540,$D85,'Post-1996 commissioned assets'!$P$22:$P$540))</f>
        <v/>
      </c>
      <c r="M85" s="100" t="str">
        <f>IF(L85="","",L85/(1+'General inputs'!$H$32)^C85)</f>
        <v/>
      </c>
      <c r="N85" s="100">
        <f>IF(LEFT(D85,4)*1&lt;LEFT('General inputs'!$I$18,4)*1+1,"",SUMIF('Uncommissioned assets'!$F$22:$F$55,$D85,'Uncommissioned assets'!$P$22:$P$55))</f>
        <v>0</v>
      </c>
      <c r="O85" s="100">
        <f>IF(N85="","",N85/(1+'General inputs'!$H$32)^C85)</f>
        <v>0</v>
      </c>
      <c r="Q85" s="109">
        <f>IF(LEFT(D85,4)*1&lt;LEFT('General inputs'!$I$18,4)*1+1,"",SUMIF('Reduction amount'!$J$38:$J$67,$D85,'Reduction amount'!$K$38:$K$67))</f>
        <v>1473572.034086602</v>
      </c>
      <c r="R85" s="100">
        <f>IF(OR(LEFT(D85,4)*1&lt;LEFT('General inputs'!$I$16,4)*1,LEFT(D85,4)*1&gt;LEFT('General inputs'!$I$16,4)+'General inputs'!$H$38-1),"",Q85/(1+'General inputs'!$H$34)^C85)</f>
        <v>774746.63493765192</v>
      </c>
      <c r="T85" s="109">
        <f>IF(LEFT(D85,4)*1&lt;LEFT('General inputs'!$I$18,4)*1+1,"",SUMIF('Reduction amount'!$D$38:$D$67,$D85,'Reduction amount'!$E$38:$E$67))</f>
        <v>574324.37600975437</v>
      </c>
      <c r="U85" s="100">
        <f>IF(OR(LEFT(D85,4)*1&lt;LEFT('General inputs'!$I$16,4)*1,LEFT(D85,4)*1&gt;LEFT('General inputs'!$I$16,4)+'General inputs'!$H$38-1),"",T85/(1+'General inputs'!$H$34)^C85)</f>
        <v>301957.33047555503</v>
      </c>
      <c r="V85" s="61"/>
    </row>
    <row r="86" spans="2:22" x14ac:dyDescent="0.2">
      <c r="B86" s="60"/>
      <c r="C86" s="52">
        <f>IF(D86='General inputs'!$I$16,0,IF(D86&lt;'General inputs'!$I$16,C87-1,C85+1))</f>
        <v>17</v>
      </c>
      <c r="D86" s="52" t="str">
        <f t="shared" si="1"/>
        <v>2042-43</v>
      </c>
      <c r="E86" s="100">
        <f>IF(LEFT(D86,4)*1&gt;LEFT('General inputs'!$I$16,4)+'General inputs'!$H$38-1,"",'ET inputs'!D59)</f>
        <v>48.560598847019946</v>
      </c>
      <c r="F86" s="100">
        <f>IF(LEFT(D86,4)*1&gt;LEFT('General inputs'!$I$16,4)+'General inputs'!$H$38-1,"",E86/(1+'General inputs'!$H$30)^C86)</f>
        <v>29.379960922517704</v>
      </c>
      <c r="G86" s="100">
        <f>IF(LEFT(D86,4)*1&gt;LEFT('General inputs'!$I$16,4)+'General inputs'!$H$38-1,"",E86/(1+'General inputs'!$H$32)^C86)</f>
        <v>24.525712451068568</v>
      </c>
      <c r="H86" s="100">
        <f>IF(LEFT(D86,4)*1&lt;LEFT('General inputs'!$I$16,4)*1,"",IF(LEFT(D86,4)*1&gt;LEFT('General inputs'!$I$16,4)+'General inputs'!$H$38-1,"",E86/(1+'General inputs'!$H$34)^C86))</f>
        <v>24.525712451068568</v>
      </c>
      <c r="J86" s="104"/>
      <c r="K86" s="104"/>
      <c r="L86" s="100" t="str">
        <f>IF(LEFT(D86,4)*1&gt;LEFT('General inputs'!$I$18,4)*1,"",SUMIF('Post-1996 commissioned assets'!$F$22:$F$540,$D86,'Post-1996 commissioned assets'!$P$22:$P$540))</f>
        <v/>
      </c>
      <c r="M86" s="100" t="str">
        <f>IF(L86="","",L86/(1+'General inputs'!$H$32)^C86)</f>
        <v/>
      </c>
      <c r="N86" s="100">
        <f>IF(LEFT(D86,4)*1&lt;LEFT('General inputs'!$I$18,4)*1+1,"",SUMIF('Uncommissioned assets'!$F$22:$F$55,$D86,'Uncommissioned assets'!$P$22:$P$55))</f>
        <v>0</v>
      </c>
      <c r="O86" s="100">
        <f>IF(N86="","",N86/(1+'General inputs'!$H$32)^C86)</f>
        <v>0</v>
      </c>
      <c r="Q86" s="109">
        <f>IF(LEFT(D86,4)*1&lt;LEFT('General inputs'!$I$18,4)*1+1,"",SUMIF('Reduction amount'!$J$38:$J$67,$D86,'Reduction amount'!$K$38:$K$67))</f>
        <v>1508687.6749046438</v>
      </c>
      <c r="R86" s="100">
        <f>IF(OR(LEFT(D86,4)*1&lt;LEFT('General inputs'!$I$16,4)*1,LEFT(D86,4)*1&gt;LEFT('General inputs'!$I$16,4)+'General inputs'!$H$38-1),"",Q86/(1+'General inputs'!$H$34)^C86)</f>
        <v>761968.36471783381</v>
      </c>
      <c r="T86" s="109">
        <f>IF(LEFT(D86,4)*1&lt;LEFT('General inputs'!$I$18,4)*1+1,"",SUMIF('Reduction amount'!$D$38:$D$67,$D86,'Reduction amount'!$E$38:$E$67))</f>
        <v>584044.76928837516</v>
      </c>
      <c r="U86" s="100">
        <f>IF(OR(LEFT(D86,4)*1&lt;LEFT('General inputs'!$I$16,4)*1,LEFT(D86,4)*1&gt;LEFT('General inputs'!$I$16,4)+'General inputs'!$H$38-1),"",T86/(1+'General inputs'!$H$34)^C86)</f>
        <v>294973.99970792187</v>
      </c>
      <c r="V86" s="61"/>
    </row>
    <row r="87" spans="2:22" x14ac:dyDescent="0.2">
      <c r="B87" s="60"/>
      <c r="C87" s="52">
        <f>IF(D87='General inputs'!$I$16,0,IF(D87&lt;'General inputs'!$I$16,C88-1,C86+1))</f>
        <v>18</v>
      </c>
      <c r="D87" s="52" t="str">
        <f t="shared" si="1"/>
        <v>2043-44</v>
      </c>
      <c r="E87" s="100">
        <f>IF(LEFT(D87,4)*1&gt;LEFT('General inputs'!$I$16,4)+'General inputs'!$H$38-1,"",'ET inputs'!D60)</f>
        <v>42.710491849633662</v>
      </c>
      <c r="F87" s="100">
        <f>IF(LEFT(D87,4)*1&gt;LEFT('General inputs'!$I$16,4)+'General inputs'!$H$38-1,"",E87/(1+'General inputs'!$H$30)^C87)</f>
        <v>25.087912601114006</v>
      </c>
      <c r="G87" s="100">
        <f>IF(LEFT(D87,4)*1&gt;LEFT('General inputs'!$I$16,4)+'General inputs'!$H$38-1,"",E87/(1+'General inputs'!$H$32)^C87)</f>
        <v>20.721511994282057</v>
      </c>
      <c r="H87" s="100">
        <f>IF(LEFT(D87,4)*1&lt;LEFT('General inputs'!$I$16,4)*1,"",IF(LEFT(D87,4)*1&gt;LEFT('General inputs'!$I$16,4)+'General inputs'!$H$38-1,"",E87/(1+'General inputs'!$H$34)^C87))</f>
        <v>20.721511994282057</v>
      </c>
      <c r="J87" s="104"/>
      <c r="K87" s="104"/>
      <c r="L87" s="100" t="str">
        <f>IF(LEFT(D87,4)*1&gt;LEFT('General inputs'!$I$18,4)*1,"",SUMIF('Post-1996 commissioned assets'!$F$22:$F$540,$D87,'Post-1996 commissioned assets'!$P$22:$P$540))</f>
        <v/>
      </c>
      <c r="M87" s="100" t="str">
        <f>IF(L87="","",L87/(1+'General inputs'!$H$32)^C87)</f>
        <v/>
      </c>
      <c r="N87" s="100">
        <f>IF(LEFT(D87,4)*1&lt;LEFT('General inputs'!$I$18,4)*1+1,"",SUMIF('Uncommissioned assets'!$F$22:$F$55,$D87,'Uncommissioned assets'!$P$22:$P$55))</f>
        <v>206.00580388098314</v>
      </c>
      <c r="O87" s="100">
        <f>IF(N87="","",N87/(1+'General inputs'!$H$32)^C87)</f>
        <v>99.946208791976801</v>
      </c>
      <c r="Q87" s="109">
        <f>IF(LEFT(D87,4)*1&lt;LEFT('General inputs'!$I$18,4)*1+1,"",SUMIF('Reduction amount'!$J$38:$J$67,$D87,'Reduction amount'!$K$38:$K$67))</f>
        <v>1543561.7280504631</v>
      </c>
      <c r="R87" s="100">
        <f>IF(OR(LEFT(D87,4)*1&lt;LEFT('General inputs'!$I$16,4)*1,LEFT(D87,4)*1&gt;LEFT('General inputs'!$I$16,4)+'General inputs'!$H$38-1),"",Q87/(1+'General inputs'!$H$34)^C87)</f>
        <v>748877.65222461964</v>
      </c>
      <c r="T87" s="109">
        <f>IF(LEFT(D87,4)*1&lt;LEFT('General inputs'!$I$18,4)*1+1,"",SUMIF('Reduction amount'!$D$38:$D$67,$D87,'Reduction amount'!$E$38:$E$67))</f>
        <v>592562.92320031254</v>
      </c>
      <c r="U87" s="100">
        <f>IF(OR(LEFT(D87,4)*1&lt;LEFT('General inputs'!$I$16,4)*1,LEFT(D87,4)*1&gt;LEFT('General inputs'!$I$16,4)+'General inputs'!$H$38-1),"",T87/(1+'General inputs'!$H$34)^C87)</f>
        <v>287489.07326309406</v>
      </c>
      <c r="V87" s="61"/>
    </row>
    <row r="88" spans="2:22" x14ac:dyDescent="0.2">
      <c r="B88" s="60"/>
      <c r="C88" s="52">
        <f>IF(D88='General inputs'!$I$16,0,IF(D88&lt;'General inputs'!$I$16,C89-1,C87+1))</f>
        <v>19</v>
      </c>
      <c r="D88" s="52" t="str">
        <f t="shared" si="1"/>
        <v>2044-45</v>
      </c>
      <c r="E88" s="100">
        <f>IF(LEFT(D88,4)*1&gt;LEFT('General inputs'!$I$16,4)+'General inputs'!$H$38-1,"",'ET inputs'!D61)</f>
        <v>25.234973959790711</v>
      </c>
      <c r="F88" s="100">
        <f>IF(LEFT(D88,4)*1&gt;LEFT('General inputs'!$I$16,4)+'General inputs'!$H$38-1,"",E88/(1+'General inputs'!$H$30)^C88)</f>
        <v>14.391153036231435</v>
      </c>
      <c r="G88" s="100">
        <f>IF(LEFT(D88,4)*1&gt;LEFT('General inputs'!$I$16,4)+'General inputs'!$H$38-1,"",E88/(1+'General inputs'!$H$32)^C88)</f>
        <v>11.7608578337802</v>
      </c>
      <c r="H88" s="100">
        <f>IF(LEFT(D88,4)*1&lt;LEFT('General inputs'!$I$16,4)*1,"",IF(LEFT(D88,4)*1&gt;LEFT('General inputs'!$I$16,4)+'General inputs'!$H$38-1,"",E88/(1+'General inputs'!$H$34)^C88))</f>
        <v>11.7608578337802</v>
      </c>
      <c r="J88" s="104"/>
      <c r="K88" s="104"/>
      <c r="L88" s="100" t="str">
        <f>IF(LEFT(D88,4)*1&gt;LEFT('General inputs'!$I$18,4)*1,"",SUMIF('Post-1996 commissioned assets'!$F$22:$F$540,$D88,'Post-1996 commissioned assets'!$P$22:$P$540))</f>
        <v/>
      </c>
      <c r="M88" s="100" t="str">
        <f>IF(L88="","",L88/(1+'General inputs'!$H$32)^C88)</f>
        <v/>
      </c>
      <c r="N88" s="100">
        <f>IF(LEFT(D88,4)*1&lt;LEFT('General inputs'!$I$18,4)*1+1,"",SUMIF('Uncommissioned assets'!$F$22:$F$55,$D88,'Uncommissioned assets'!$P$22:$P$55))</f>
        <v>709000.74712897791</v>
      </c>
      <c r="O88" s="100">
        <f>IF(N88="","",N88/(1+'General inputs'!$H$32)^C88)</f>
        <v>330432.55777930713</v>
      </c>
      <c r="Q88" s="109">
        <f>IF(LEFT(D88,4)*1&lt;LEFT('General inputs'!$I$18,4)*1+1,"",SUMIF('Reduction amount'!$J$38:$J$67,$D88,'Reduction amount'!$K$38:$K$67))</f>
        <v>1574416.7569936882</v>
      </c>
      <c r="R88" s="100">
        <f>IF(OR(LEFT(D88,4)*1&lt;LEFT('General inputs'!$I$16,4)*1,LEFT(D88,4)*1&gt;LEFT('General inputs'!$I$16,4)+'General inputs'!$H$38-1),"",Q88/(1+'General inputs'!$H$34)^C88)</f>
        <v>733763.05755766283</v>
      </c>
      <c r="T88" s="109">
        <f>IF(LEFT(D88,4)*1&lt;LEFT('General inputs'!$I$18,4)*1+1,"",SUMIF('Reduction amount'!$D$38:$D$67,$D88,'Reduction amount'!$E$38:$E$67))</f>
        <v>597582.10226811061</v>
      </c>
      <c r="U88" s="100">
        <f>IF(OR(LEFT(D88,4)*1&lt;LEFT('General inputs'!$I$16,4)*1,LEFT(D88,4)*1&gt;LEFT('General inputs'!$I$16,4)+'General inputs'!$H$38-1),"",T88/(1+'General inputs'!$H$34)^C88)</f>
        <v>278505.46467712848</v>
      </c>
      <c r="V88" s="61"/>
    </row>
    <row r="89" spans="2:22" x14ac:dyDescent="0.2">
      <c r="B89" s="60"/>
      <c r="C89" s="52">
        <f>IF(D89='General inputs'!$I$16,0,IF(D89&lt;'General inputs'!$I$16,C90-1,C88+1))</f>
        <v>20</v>
      </c>
      <c r="D89" s="52" t="str">
        <f t="shared" si="1"/>
        <v>2045-46</v>
      </c>
      <c r="E89" s="100">
        <f>IF(LEFT(D89,4)*1&gt;LEFT('General inputs'!$I$16,4)+'General inputs'!$H$38-1,"",'ET inputs'!D62)</f>
        <v>22.623724349337976</v>
      </c>
      <c r="F89" s="100">
        <f>IF(LEFT(D89,4)*1&gt;LEFT('General inputs'!$I$16,4)+'General inputs'!$H$38-1,"",E89/(1+'General inputs'!$H$30)^C89)</f>
        <v>12.526207641623454</v>
      </c>
      <c r="G89" s="100">
        <f>IF(LEFT(D89,4)*1&gt;LEFT('General inputs'!$I$16,4)+'General inputs'!$H$38-1,"",E89/(1+'General inputs'!$H$32)^C89)</f>
        <v>10.128602103070776</v>
      </c>
      <c r="H89" s="100">
        <f>IF(LEFT(D89,4)*1&lt;LEFT('General inputs'!$I$16,4)*1,"",IF(LEFT(D89,4)*1&gt;LEFT('General inputs'!$I$16,4)+'General inputs'!$H$38-1,"",E89/(1+'General inputs'!$H$34)^C89))</f>
        <v>10.128602103070776</v>
      </c>
      <c r="J89" s="104"/>
      <c r="K89" s="104"/>
      <c r="L89" s="100" t="str">
        <f>IF(LEFT(D89,4)*1&gt;LEFT('General inputs'!$I$18,4)*1,"",SUMIF('Post-1996 commissioned assets'!$F$22:$F$540,$D89,'Post-1996 commissioned assets'!$P$22:$P$540))</f>
        <v/>
      </c>
      <c r="M89" s="100" t="str">
        <f>IF(L89="","",L89/(1+'General inputs'!$H$32)^C89)</f>
        <v/>
      </c>
      <c r="N89" s="100">
        <f>IF(LEFT(D89,4)*1&lt;LEFT('General inputs'!$I$18,4)*1+1,"",SUMIF('Uncommissioned assets'!$F$22:$F$55,$D89,'Uncommissioned assets'!$P$22:$P$55))</f>
        <v>798443.29626228963</v>
      </c>
      <c r="O89" s="100">
        <f>IF(N89="","",N89/(1+'General inputs'!$H$32)^C89)</f>
        <v>357461.67716818192</v>
      </c>
      <c r="Q89" s="109">
        <f>IF(LEFT(D89,4)*1&lt;LEFT('General inputs'!$I$18,4)*1+1,"",SUMIF('Reduction amount'!$J$38:$J$67,$D89,'Reduction amount'!$K$38:$K$67))</f>
        <v>1587140.5146811805</v>
      </c>
      <c r="R89" s="100">
        <f>IF(OR(LEFT(D89,4)*1&lt;LEFT('General inputs'!$I$16,4)*1,LEFT(D89,4)*1&gt;LEFT('General inputs'!$I$16,4)+'General inputs'!$H$38-1),"",Q89/(1+'General inputs'!$H$34)^C89)</f>
        <v>710560.05221081316</v>
      </c>
      <c r="T89" s="109">
        <f>IF(LEFT(D89,4)*1&lt;LEFT('General inputs'!$I$18,4)*1+1,"",SUMIF('Reduction amount'!$D$38:$D$67,$D89,'Reduction amount'!$E$38:$E$67))</f>
        <v>602073.30954882177</v>
      </c>
      <c r="U89" s="100">
        <f>IF(OR(LEFT(D89,4)*1&lt;LEFT('General inputs'!$I$16,4)*1,LEFT(D89,4)*1&gt;LEFT('General inputs'!$I$16,4)+'General inputs'!$H$38-1),"",T89/(1+'General inputs'!$H$34)^C89)</f>
        <v>269547.17513066874</v>
      </c>
      <c r="V89" s="61"/>
    </row>
    <row r="90" spans="2:22" x14ac:dyDescent="0.2">
      <c r="B90" s="60"/>
      <c r="C90" s="52">
        <f>IF(D90='General inputs'!$I$16,0,IF(D90&lt;'General inputs'!$I$16,C91-1,C89+1))</f>
        <v>21</v>
      </c>
      <c r="D90" s="52" t="str">
        <f t="shared" si="1"/>
        <v>2046-47</v>
      </c>
      <c r="E90" s="100">
        <f>IF(LEFT(D90,4)*1&gt;LEFT('General inputs'!$I$16,4)+'General inputs'!$H$38-1,"",'ET inputs'!D63)</f>
        <v>17.909443003814033</v>
      </c>
      <c r="F90" s="100">
        <f>IF(LEFT(D90,4)*1&gt;LEFT('General inputs'!$I$16,4)+'General inputs'!$H$38-1,"",E90/(1+'General inputs'!$H$30)^C90)</f>
        <v>9.6272081186348704</v>
      </c>
      <c r="G90" s="100">
        <f>IF(LEFT(D90,4)*1&gt;LEFT('General inputs'!$I$16,4)+'General inputs'!$H$38-1,"",E90/(1+'General inputs'!$H$32)^C90)</f>
        <v>7.7022349005306197</v>
      </c>
      <c r="H90" s="100">
        <f>IF(LEFT(D90,4)*1&lt;LEFT('General inputs'!$I$16,4)*1,"",IF(LEFT(D90,4)*1&gt;LEFT('General inputs'!$I$16,4)+'General inputs'!$H$38-1,"",E90/(1+'General inputs'!$H$34)^C90))</f>
        <v>7.7022349005306197</v>
      </c>
      <c r="J90" s="104"/>
      <c r="K90" s="104"/>
      <c r="L90" s="100" t="str">
        <f>IF(LEFT(D90,4)*1&gt;LEFT('General inputs'!$I$18,4)*1,"",SUMIF('Post-1996 commissioned assets'!$F$22:$F$540,$D90,'Post-1996 commissioned assets'!$P$22:$P$540))</f>
        <v/>
      </c>
      <c r="M90" s="100" t="str">
        <f>IF(L90="","",L90/(1+'General inputs'!$H$32)^C90)</f>
        <v/>
      </c>
      <c r="N90" s="100">
        <f>IF(LEFT(D90,4)*1&lt;LEFT('General inputs'!$I$18,4)*1+1,"",SUMIF('Uncommissioned assets'!$F$22:$F$55,$D90,'Uncommissioned assets'!$P$22:$P$55))</f>
        <v>806083.68188072438</v>
      </c>
      <c r="O90" s="100">
        <f>IF(N90="","",N90/(1+'General inputs'!$H$32)^C90)</f>
        <v>346668.84201857814</v>
      </c>
      <c r="Q90" s="109">
        <f>IF(LEFT(D90,4)*1&lt;LEFT('General inputs'!$I$18,4)*1+1,"",SUMIF('Reduction amount'!$J$38:$J$67,$D90,'Reduction amount'!$K$38:$K$67))</f>
        <v>1597029.577969918</v>
      </c>
      <c r="R90" s="100">
        <f>IF(OR(LEFT(D90,4)*1&lt;LEFT('General inputs'!$I$16,4)*1,LEFT(D90,4)*1&gt;LEFT('General inputs'!$I$16,4)+'General inputs'!$H$38-1),"",Q90/(1+'General inputs'!$H$34)^C90)</f>
        <v>686827.44348889054</v>
      </c>
      <c r="T90" s="109">
        <f>IF(LEFT(D90,4)*1&lt;LEFT('General inputs'!$I$18,4)*1+1,"",SUMIF('Reduction amount'!$D$38:$D$67,$D90,'Reduction amount'!$E$38:$E$67))</f>
        <v>605622.8981854443</v>
      </c>
      <c r="U90" s="100">
        <f>IF(OR(LEFT(D90,4)*1&lt;LEFT('General inputs'!$I$16,4)*1,LEFT(D90,4)*1&gt;LEFT('General inputs'!$I$16,4)+'General inputs'!$H$38-1),"",T90/(1+'General inputs'!$H$34)^C90)</f>
        <v>260457.5598454423</v>
      </c>
      <c r="V90" s="61"/>
    </row>
    <row r="91" spans="2:22" x14ac:dyDescent="0.2">
      <c r="B91" s="60"/>
      <c r="C91" s="52">
        <f>IF(D91='General inputs'!$I$16,0,IF(D91&lt;'General inputs'!$I$16,C92-1,C90+1))</f>
        <v>22</v>
      </c>
      <c r="D91" s="52" t="str">
        <f t="shared" si="1"/>
        <v>2047-48</v>
      </c>
      <c r="E91" s="100">
        <f>IF(LEFT(D91,4)*1&gt;LEFT('General inputs'!$I$16,4)+'General inputs'!$H$38-1,"",'ET inputs'!D64)</f>
        <v>17.262106536493132</v>
      </c>
      <c r="F91" s="100">
        <f>IF(LEFT(D91,4)*1&gt;LEFT('General inputs'!$I$16,4)+'General inputs'!$H$38-1,"",E91/(1+'General inputs'!$H$30)^C91)</f>
        <v>9.0089639508320278</v>
      </c>
      <c r="G91" s="100">
        <f>IF(LEFT(D91,4)*1&gt;LEFT('General inputs'!$I$16,4)+'General inputs'!$H$38-1,"",E91/(1+'General inputs'!$H$32)^C91)</f>
        <v>7.1314483867399003</v>
      </c>
      <c r="H91" s="100">
        <f>IF(LEFT(D91,4)*1&lt;LEFT('General inputs'!$I$16,4)*1,"",IF(LEFT(D91,4)*1&gt;LEFT('General inputs'!$I$16,4)+'General inputs'!$H$38-1,"",E91/(1+'General inputs'!$H$34)^C91))</f>
        <v>7.1314483867399003</v>
      </c>
      <c r="J91" s="104"/>
      <c r="K91" s="104"/>
      <c r="L91" s="100" t="str">
        <f>IF(LEFT(D91,4)*1&gt;LEFT('General inputs'!$I$18,4)*1,"",SUMIF('Post-1996 commissioned assets'!$F$22:$F$540,$D91,'Post-1996 commissioned assets'!$P$22:$P$540))</f>
        <v/>
      </c>
      <c r="M91" s="100" t="str">
        <f>IF(L91="","",L91/(1+'General inputs'!$H$32)^C91)</f>
        <v/>
      </c>
      <c r="N91" s="100">
        <f>IF(LEFT(D91,4)*1&lt;LEFT('General inputs'!$I$18,4)*1+1,"",SUMIF('Uncommissioned assets'!$F$22:$F$55,$D91,'Uncommissioned assets'!$P$22:$P$55))</f>
        <v>806083.68188072438</v>
      </c>
      <c r="O91" s="100">
        <f>IF(N91="","",N91/(1+'General inputs'!$H$32)^C91)</f>
        <v>333015.21807740454</v>
      </c>
      <c r="Q91" s="109">
        <f>IF(LEFT(D91,4)*1&lt;LEFT('General inputs'!$I$18,4)*1+1,"",SUMIF('Reduction amount'!$J$38:$J$67,$D91,'Reduction amount'!$K$38:$K$67))</f>
        <v>1602016.3211614531</v>
      </c>
      <c r="R91" s="100">
        <f>IF(OR(LEFT(D91,4)*1&lt;LEFT('General inputs'!$I$16,4)*1,LEFT(D91,4)*1&gt;LEFT('General inputs'!$I$16,4)+'General inputs'!$H$38-1),"",Q91/(1+'General inputs'!$H$34)^C91)</f>
        <v>661836.76279168704</v>
      </c>
      <c r="T91" s="109">
        <f>IF(LEFT(D91,4)*1&lt;LEFT('General inputs'!$I$18,4)*1+1,"",SUMIF('Reduction amount'!$D$38:$D$67,$D91,'Reduction amount'!$E$38:$E$67))</f>
        <v>609039.38831028668</v>
      </c>
      <c r="U91" s="100">
        <f>IF(OR(LEFT(D91,4)*1&lt;LEFT('General inputs'!$I$16,4)*1,LEFT(D91,4)*1&gt;LEFT('General inputs'!$I$16,4)+'General inputs'!$H$38-1),"",T91/(1+'General inputs'!$H$34)^C91)</f>
        <v>251610.83058109868</v>
      </c>
      <c r="V91" s="61"/>
    </row>
    <row r="92" spans="2:22" x14ac:dyDescent="0.2">
      <c r="B92" s="60"/>
      <c r="C92" s="52">
        <f>IF(D92='General inputs'!$I$16,0,IF(D92&lt;'General inputs'!$I$16,C93-1,C91+1))</f>
        <v>23</v>
      </c>
      <c r="D92" s="52" t="str">
        <f t="shared" si="1"/>
        <v>2048-49</v>
      </c>
      <c r="E92" s="100">
        <f>IF(LEFT(D92,4)*1&gt;LEFT('General inputs'!$I$16,4)+'General inputs'!$H$38-1,"",'ET inputs'!D65)</f>
        <v>16.469578111439109</v>
      </c>
      <c r="F92" s="100">
        <f>IF(LEFT(D92,4)*1&gt;LEFT('General inputs'!$I$16,4)+'General inputs'!$H$38-1,"",E92/(1+'General inputs'!$H$30)^C92)</f>
        <v>8.3449993291845104</v>
      </c>
      <c r="G92" s="100">
        <f>IF(LEFT(D92,4)*1&gt;LEFT('General inputs'!$I$16,4)+'General inputs'!$H$38-1,"",E92/(1+'General inputs'!$H$32)^C92)</f>
        <v>6.5360549625738207</v>
      </c>
      <c r="H92" s="100">
        <f>IF(LEFT(D92,4)*1&lt;LEFT('General inputs'!$I$16,4)*1,"",IF(LEFT(D92,4)*1&gt;LEFT('General inputs'!$I$16,4)+'General inputs'!$H$38-1,"",E92/(1+'General inputs'!$H$34)^C92))</f>
        <v>6.5360549625738207</v>
      </c>
      <c r="J92" s="104"/>
      <c r="K92" s="104"/>
      <c r="L92" s="100" t="str">
        <f>IF(LEFT(D92,4)*1&gt;LEFT('General inputs'!$I$18,4)*1,"",SUMIF('Post-1996 commissioned assets'!$F$22:$F$540,$D92,'Post-1996 commissioned assets'!$P$22:$P$540))</f>
        <v/>
      </c>
      <c r="M92" s="100" t="str">
        <f>IF(L92="","",L92/(1+'General inputs'!$H$32)^C92)</f>
        <v/>
      </c>
      <c r="N92" s="100">
        <f>IF(LEFT(D92,4)*1&lt;LEFT('General inputs'!$I$18,4)*1+1,"",SUMIF('Uncommissioned assets'!$F$22:$F$55,$D92,'Uncommissioned assets'!$P$22:$P$55))</f>
        <v>817788.5287829882</v>
      </c>
      <c r="O92" s="100">
        <f>IF(N92="","",N92/(1+'General inputs'!$H$32)^C92)</f>
        <v>324544.48655096354</v>
      </c>
      <c r="Q92" s="109">
        <f>IF(LEFT(D92,4)*1&lt;LEFT('General inputs'!$I$18,4)*1+1,"",SUMIF('Reduction amount'!$J$38:$J$67,$D92,'Reduction amount'!$K$38:$K$67))</f>
        <v>1607003.0643529883</v>
      </c>
      <c r="R92" s="100">
        <f>IF(OR(LEFT(D92,4)*1&lt;LEFT('General inputs'!$I$16,4)*1,LEFT(D92,4)*1&gt;LEFT('General inputs'!$I$16,4)+'General inputs'!$H$38-1),"",Q92/(1+'General inputs'!$H$34)^C92)</f>
        <v>637749.20538738044</v>
      </c>
      <c r="T92" s="109">
        <f>IF(LEFT(D92,4)*1&lt;LEFT('General inputs'!$I$18,4)*1+1,"",SUMIF('Reduction amount'!$D$38:$D$67,$D92,'Reduction amount'!$E$38:$E$67))</f>
        <v>612294.64048659324</v>
      </c>
      <c r="U92" s="100">
        <f>IF(OR(LEFT(D92,4)*1&lt;LEFT('General inputs'!$I$16,4)*1,LEFT(D92,4)*1&gt;LEFT('General inputs'!$I$16,4)+'General inputs'!$H$38-1),"",T92/(1+'General inputs'!$H$34)^C92)</f>
        <v>242992.95321536672</v>
      </c>
      <c r="V92" s="61"/>
    </row>
    <row r="93" spans="2:22" x14ac:dyDescent="0.2">
      <c r="B93" s="60"/>
      <c r="C93" s="52">
        <f>IF(D93='General inputs'!$I$16,0,IF(D93&lt;'General inputs'!$I$16,C94-1,C92+1))</f>
        <v>24</v>
      </c>
      <c r="D93" s="52" t="str">
        <f t="shared" si="1"/>
        <v>2049-50</v>
      </c>
      <c r="E93" s="100">
        <f>IF(LEFT(D93,4)*1&gt;LEFT('General inputs'!$I$16,4)+'General inputs'!$H$38-1,"",'ET inputs'!D66)</f>
        <v>15.508725065134675</v>
      </c>
      <c r="F93" s="100">
        <f>IF(LEFT(D93,4)*1&gt;LEFT('General inputs'!$I$16,4)+'General inputs'!$H$38-1,"",E93/(1+'General inputs'!$H$30)^C93)</f>
        <v>7.6292650671539022</v>
      </c>
      <c r="G93" s="100">
        <f>IF(LEFT(D93,4)*1&gt;LEFT('General inputs'!$I$16,4)+'General inputs'!$H$38-1,"",E93/(1+'General inputs'!$H$32)^C93)</f>
        <v>5.9123289418724347</v>
      </c>
      <c r="H93" s="100">
        <f>IF(LEFT(D93,4)*1&lt;LEFT('General inputs'!$I$16,4)*1,"",IF(LEFT(D93,4)*1&gt;LEFT('General inputs'!$I$16,4)+'General inputs'!$H$38-1,"",E93/(1+'General inputs'!$H$34)^C93))</f>
        <v>5.9123289418724347</v>
      </c>
      <c r="J93" s="104"/>
      <c r="K93" s="104"/>
      <c r="L93" s="100" t="str">
        <f>IF(LEFT(D93,4)*1&gt;LEFT('General inputs'!$I$18,4)*1,"",SUMIF('Post-1996 commissioned assets'!$F$22:$F$540,$D93,'Post-1996 commissioned assets'!$P$22:$P$540))</f>
        <v/>
      </c>
      <c r="M93" s="100" t="str">
        <f>IF(L93="","",L93/(1+'General inputs'!$H$32)^C93)</f>
        <v/>
      </c>
      <c r="N93" s="100">
        <f>IF(LEFT(D93,4)*1&lt;LEFT('General inputs'!$I$18,4)*1+1,"",SUMIF('Uncommissioned assets'!$F$22:$F$55,$D93,'Uncommissioned assets'!$P$22:$P$55))</f>
        <v>835082.32145122881</v>
      </c>
      <c r="O93" s="100">
        <f>IF(N93="","",N93/(1+'General inputs'!$H$32)^C93)</f>
        <v>318355.07801100129</v>
      </c>
      <c r="Q93" s="109">
        <f>IF(LEFT(D93,4)*1&lt;LEFT('General inputs'!$I$18,4)*1+1,"",SUMIF('Reduction amount'!$J$38:$J$67,$D93,'Reduction amount'!$K$38:$K$67))</f>
        <v>1611161.729410708</v>
      </c>
      <c r="R93" s="100">
        <f>IF(OR(LEFT(D93,4)*1&lt;LEFT('General inputs'!$I$16,4)*1,LEFT(D93,4)*1&gt;LEFT('General inputs'!$I$16,4)+'General inputs'!$H$38-1),"",Q93/(1+'General inputs'!$H$34)^C93)</f>
        <v>614216.71238772804</v>
      </c>
      <c r="T93" s="109">
        <f>IF(LEFT(D93,4)*1&lt;LEFT('General inputs'!$I$18,4)*1+1,"",SUMIF('Reduction amount'!$D$38:$D$67,$D93,'Reduction amount'!$E$38:$E$67))</f>
        <v>615356.07360655244</v>
      </c>
      <c r="U93" s="100">
        <f>IF(OR(LEFT(D93,4)*1&lt;LEFT('General inputs'!$I$16,4)*1,LEFT(D93,4)*1&gt;LEFT('General inputs'!$I$16,4)+'General inputs'!$H$38-1),"",T93/(1+'General inputs'!$H$34)^C93)</f>
        <v>234589.72341447018</v>
      </c>
      <c r="V93" s="61"/>
    </row>
    <row r="94" spans="2:22" x14ac:dyDescent="0.2">
      <c r="B94" s="60"/>
      <c r="C94" s="52">
        <f>IF(D94='General inputs'!$I$16,0,IF(D94&lt;'General inputs'!$I$16,C95-1,C93+1))</f>
        <v>25</v>
      </c>
      <c r="D94" s="52" t="str">
        <f t="shared" si="1"/>
        <v>2050-51</v>
      </c>
      <c r="E94" s="100">
        <f>IF(LEFT(D94,4)*1&gt;LEFT('General inputs'!$I$16,4)+'General inputs'!$H$38-1,"",'ET inputs'!D67)</f>
        <v>15.508725065134675</v>
      </c>
      <c r="F94" s="100">
        <f>IF(LEFT(D94,4)*1&gt;LEFT('General inputs'!$I$16,4)+'General inputs'!$H$38-1,"",E94/(1+'General inputs'!$H$30)^C94)</f>
        <v>7.4070534632562159</v>
      </c>
      <c r="G94" s="100">
        <f>IF(LEFT(D94,4)*1&gt;LEFT('General inputs'!$I$16,4)+'General inputs'!$H$38-1,"",E94/(1+'General inputs'!$H$32)^C94)</f>
        <v>5.6794706454106008</v>
      </c>
      <c r="H94" s="100">
        <f>IF(LEFT(D94,4)*1&lt;LEFT('General inputs'!$I$16,4)*1,"",IF(LEFT(D94,4)*1&gt;LEFT('General inputs'!$I$16,4)+'General inputs'!$H$38-1,"",E94/(1+'General inputs'!$H$34)^C94))</f>
        <v>5.6794706454106008</v>
      </c>
      <c r="J94" s="104"/>
      <c r="K94" s="104"/>
      <c r="L94" s="100" t="str">
        <f>IF(LEFT(D94,4)*1&gt;LEFT('General inputs'!$I$18,4)*1,"",SUMIF('Post-1996 commissioned assets'!$F$22:$F$540,$D94,'Post-1996 commissioned assets'!$P$22:$P$540))</f>
        <v/>
      </c>
      <c r="M94" s="100" t="str">
        <f>IF(L94="","",L94/(1+'General inputs'!$H$32)^C94)</f>
        <v/>
      </c>
      <c r="N94" s="100">
        <f>IF(LEFT(D94,4)*1&lt;LEFT('General inputs'!$I$18,4)*1+1,"",SUMIF('Uncommissioned assets'!$F$22:$F$55,$D94,'Uncommissioned assets'!$P$22:$P$55))</f>
        <v>862478.49752813694</v>
      </c>
      <c r="O94" s="100">
        <f>IF(N94="","",N94/(1+'General inputs'!$H$32)^C94)</f>
        <v>315849.38726014848</v>
      </c>
      <c r="Q94" s="109">
        <f>IF(LEFT(D94,4)*1&lt;LEFT('General inputs'!$I$18,4)*1+1,"",SUMIF('Reduction amount'!$J$38:$J$67,$D94,'Reduction amount'!$K$38:$K$67))</f>
        <v>1614316.4413327407</v>
      </c>
      <c r="R94" s="100">
        <f>IF(OR(LEFT(D94,4)*1&lt;LEFT('General inputs'!$I$16,4)*1,LEFT(D94,4)*1&gt;LEFT('General inputs'!$I$16,4)+'General inputs'!$H$38-1),"",Q94/(1+'General inputs'!$H$34)^C94)</f>
        <v>591180.95152545592</v>
      </c>
      <c r="T94" s="109">
        <f>IF(LEFT(D94,4)*1&lt;LEFT('General inputs'!$I$18,4)*1+1,"",SUMIF('Reduction amount'!$D$38:$D$67,$D94,'Reduction amount'!$E$38:$E$67))</f>
        <v>618413.72707673046</v>
      </c>
      <c r="U94" s="100">
        <f>IF(OR(LEFT(D94,4)*1&lt;LEFT('General inputs'!$I$16,4)*1,LEFT(D94,4)*1&gt;LEFT('General inputs'!$I$16,4)+'General inputs'!$H$38-1),"",T94/(1+'General inputs'!$H$34)^C94)</f>
        <v>226470.10601453032</v>
      </c>
      <c r="V94" s="61"/>
    </row>
    <row r="95" spans="2:22" x14ac:dyDescent="0.2">
      <c r="B95" s="60"/>
      <c r="C95" s="52">
        <f>IF(D95='General inputs'!$I$16,0,IF(D95&lt;'General inputs'!$I$16,C96-1,C94+1))</f>
        <v>26</v>
      </c>
      <c r="D95" s="52" t="str">
        <f t="shared" si="1"/>
        <v>2051-52</v>
      </c>
      <c r="E95" s="100">
        <f>IF(LEFT(D95,4)*1&gt;LEFT('General inputs'!$I$16,4)+'General inputs'!$H$38-1,"",'ET inputs'!D68)</f>
        <v>15.196931912468918</v>
      </c>
      <c r="F95" s="100">
        <f>IF(LEFT(D95,4)*1&gt;LEFT('General inputs'!$I$16,4)+'General inputs'!$H$38-1,"",E95/(1+'General inputs'!$H$30)^C95)</f>
        <v>7.0467372010537854</v>
      </c>
      <c r="G95" s="100">
        <f>IF(LEFT(D95,4)*1&gt;LEFT('General inputs'!$I$16,4)+'General inputs'!$H$38-1,"",E95/(1+'General inputs'!$H$32)^C95)</f>
        <v>5.3460984284855559</v>
      </c>
      <c r="H95" s="100">
        <f>IF(LEFT(D95,4)*1&lt;LEFT('General inputs'!$I$16,4)*1,"",IF(LEFT(D95,4)*1&gt;LEFT('General inputs'!$I$16,4)+'General inputs'!$H$38-1,"",E95/(1+'General inputs'!$H$34)^C95))</f>
        <v>5.3460984284855559</v>
      </c>
      <c r="J95" s="104"/>
      <c r="K95" s="104"/>
      <c r="L95" s="100" t="str">
        <f>IF(LEFT(D95,4)*1&gt;LEFT('General inputs'!$I$18,4)*1,"",SUMIF('Post-1996 commissioned assets'!$F$22:$F$540,$D95,'Post-1996 commissioned assets'!$P$22:$P$540))</f>
        <v/>
      </c>
      <c r="M95" s="100" t="str">
        <f>IF(L95="","",L95/(1+'General inputs'!$H$32)^C95)</f>
        <v/>
      </c>
      <c r="N95" s="100">
        <f>IF(LEFT(D95,4)*1&lt;LEFT('General inputs'!$I$18,4)*1+1,"",SUMIF('Uncommissioned assets'!$F$22:$F$55,$D95,'Uncommissioned assets'!$P$22:$P$55))</f>
        <v>1153563.3485755497</v>
      </c>
      <c r="O95" s="100">
        <f>IF(N95="","",N95/(1+'General inputs'!$H$32)^C95)</f>
        <v>405809.75426482456</v>
      </c>
      <c r="Q95" s="109">
        <f>IF(LEFT(D95,4)*1&lt;LEFT('General inputs'!$I$18,4)*1+1,"",SUMIF('Reduction amount'!$J$38:$J$67,$D95,'Reduction amount'!$K$38:$K$67))</f>
        <v>1617347.512247914</v>
      </c>
      <c r="R95" s="100">
        <f>IF(OR(LEFT(D95,4)*1&lt;LEFT('General inputs'!$I$16,4)*1,LEFT(D95,4)*1&gt;LEFT('General inputs'!$I$16,4)+'General inputs'!$H$38-1),"",Q95/(1+'General inputs'!$H$34)^C95)</f>
        <v>568963.46205573494</v>
      </c>
      <c r="T95" s="109">
        <f>IF(LEFT(D95,4)*1&lt;LEFT('General inputs'!$I$18,4)*1+1,"",SUMIF('Reduction amount'!$D$38:$D$67,$D95,'Reduction amount'!$E$38:$E$67))</f>
        <v>621406.24865697499</v>
      </c>
      <c r="U95" s="100">
        <f>IF(OR(LEFT(D95,4)*1&lt;LEFT('General inputs'!$I$16,4)*1,LEFT(D95,4)*1&gt;LEFT('General inputs'!$I$16,4)+'General inputs'!$H$38-1),"",T95/(1+'General inputs'!$H$34)^C95)</f>
        <v>218603.26732597998</v>
      </c>
      <c r="V95" s="61"/>
    </row>
    <row r="96" spans="2:22" x14ac:dyDescent="0.2">
      <c r="B96" s="60"/>
      <c r="C96" s="52">
        <f>IF(D96='General inputs'!$I$16,0,IF(D96&lt;'General inputs'!$I$16,C97-1,C95+1))</f>
        <v>27</v>
      </c>
      <c r="D96" s="52" t="str">
        <f t="shared" si="1"/>
        <v>2052-53</v>
      </c>
      <c r="E96" s="100">
        <f>IF(LEFT(D96,4)*1&gt;LEFT('General inputs'!$I$16,4)+'General inputs'!$H$38-1,"",'ET inputs'!D69)</f>
        <v>15.196931912468918</v>
      </c>
      <c r="F96" s="100">
        <f>IF(LEFT(D96,4)*1&gt;LEFT('General inputs'!$I$16,4)+'General inputs'!$H$38-1,"",E96/(1+'General inputs'!$H$30)^C96)</f>
        <v>6.8414924282075589</v>
      </c>
      <c r="G96" s="100">
        <f>IF(LEFT(D96,4)*1&gt;LEFT('General inputs'!$I$16,4)+'General inputs'!$H$38-1,"",E96/(1+'General inputs'!$H$32)^C96)</f>
        <v>5.1355412377382859</v>
      </c>
      <c r="H96" s="100">
        <f>IF(LEFT(D96,4)*1&lt;LEFT('General inputs'!$I$16,4)*1,"",IF(LEFT(D96,4)*1&gt;LEFT('General inputs'!$I$16,4)+'General inputs'!$H$38-1,"",E96/(1+'General inputs'!$H$34)^C96))</f>
        <v>5.1355412377382859</v>
      </c>
      <c r="J96" s="104"/>
      <c r="K96" s="104"/>
      <c r="L96" s="100" t="str">
        <f>IF(LEFT(D96,4)*1&gt;LEFT('General inputs'!$I$18,4)*1,"",SUMIF('Post-1996 commissioned assets'!$F$22:$F$540,$D96,'Post-1996 commissioned assets'!$P$22:$P$540))</f>
        <v/>
      </c>
      <c r="M96" s="100" t="str">
        <f>IF(L96="","",L96/(1+'General inputs'!$H$32)^C96)</f>
        <v/>
      </c>
      <c r="N96" s="100">
        <f>IF(LEFT(D96,4)*1&lt;LEFT('General inputs'!$I$18,4)*1+1,"",SUMIF('Uncommissioned assets'!$F$22:$F$55,$D96,'Uncommissioned assets'!$P$22:$P$55))</f>
        <v>1246448.3959053685</v>
      </c>
      <c r="O96" s="100">
        <f>IF(N96="","",N96/(1+'General inputs'!$H$32)^C96)</f>
        <v>421215.75425580819</v>
      </c>
      <c r="Q96" s="109">
        <f>IF(LEFT(D96,4)*1&lt;LEFT('General inputs'!$I$18,4)*1+1,"",SUMIF('Reduction amount'!$J$38:$J$67,$D96,'Reduction amount'!$K$38:$K$67))</f>
        <v>1620378.5831630875</v>
      </c>
      <c r="R96" s="100">
        <f>IF(OR(LEFT(D96,4)*1&lt;LEFT('General inputs'!$I$16,4)*1,LEFT(D96,4)*1&gt;LEFT('General inputs'!$I$16,4)+'General inputs'!$H$38-1),"",Q96/(1+'General inputs'!$H$34)^C96)</f>
        <v>547579.01677207986</v>
      </c>
      <c r="T96" s="109">
        <f>IF(LEFT(D96,4)*1&lt;LEFT('General inputs'!$I$18,4)*1+1,"",SUMIF('Reduction amount'!$D$38:$D$67,$D96,'Reduction amount'!$E$38:$E$67))</f>
        <v>624395.15431722905</v>
      </c>
      <c r="U96" s="100">
        <f>IF(OR(LEFT(D96,4)*1&lt;LEFT('General inputs'!$I$16,4)*1,LEFT(D96,4)*1&gt;LEFT('General inputs'!$I$16,4)+'General inputs'!$H$38-1),"",T96/(1+'General inputs'!$H$34)^C96)</f>
        <v>211003.58165118212</v>
      </c>
      <c r="V96" s="61"/>
    </row>
    <row r="97" spans="2:22" x14ac:dyDescent="0.2">
      <c r="B97" s="60"/>
      <c r="C97" s="52">
        <f>IF(D97='General inputs'!$I$16,0,IF(D97&lt;'General inputs'!$I$16,C98-1,C96+1))</f>
        <v>28</v>
      </c>
      <c r="D97" s="52" t="str">
        <f t="shared" si="1"/>
        <v>2053-54</v>
      </c>
      <c r="E97" s="100">
        <f>IF(LEFT(D97,4)*1&gt;LEFT('General inputs'!$I$16,4)+'General inputs'!$H$38-1,"",'ET inputs'!D70)</f>
        <v>15.196931912468918</v>
      </c>
      <c r="F97" s="100">
        <f>IF(LEFT(D97,4)*1&gt;LEFT('General inputs'!$I$16,4)+'General inputs'!$H$38-1,"",E97/(1+'General inputs'!$H$30)^C97)</f>
        <v>6.642225658453941</v>
      </c>
      <c r="G97" s="100">
        <f>IF(LEFT(D97,4)*1&gt;LEFT('General inputs'!$I$16,4)+'General inputs'!$H$38-1,"",E97/(1+'General inputs'!$H$32)^C97)</f>
        <v>4.9332768854354336</v>
      </c>
      <c r="H97" s="100">
        <f>IF(LEFT(D97,4)*1&lt;LEFT('General inputs'!$I$16,4)*1,"",IF(LEFT(D97,4)*1&gt;LEFT('General inputs'!$I$16,4)+'General inputs'!$H$38-1,"",E97/(1+'General inputs'!$H$34)^C97))</f>
        <v>4.9332768854354336</v>
      </c>
      <c r="J97" s="104"/>
      <c r="K97" s="104"/>
      <c r="L97" s="100" t="str">
        <f>IF(LEFT(D97,4)*1&gt;LEFT('General inputs'!$I$18,4)*1,"",SUMIF('Post-1996 commissioned assets'!$F$22:$F$540,$D97,'Post-1996 commissioned assets'!$P$22:$P$540))</f>
        <v/>
      </c>
      <c r="M97" s="100" t="str">
        <f>IF(L97="","",L97/(1+'General inputs'!$H$32)^C97)</f>
        <v/>
      </c>
      <c r="N97" s="100">
        <f>IF(LEFT(D97,4)*1&lt;LEFT('General inputs'!$I$18,4)*1+1,"",SUMIF('Uncommissioned assets'!$F$22:$F$55,$D97,'Uncommissioned assets'!$P$22:$P$55))</f>
        <v>1246448.3959053685</v>
      </c>
      <c r="O97" s="100">
        <f>IF(N97="","",N97/(1+'General inputs'!$H$32)^C97)</f>
        <v>404626.08477983502</v>
      </c>
      <c r="Q97" s="109">
        <f>IF(LEFT(D97,4)*1&lt;LEFT('General inputs'!$I$18,4)*1+1,"",SUMIF('Reduction amount'!$J$38:$J$67,$D97,'Reduction amount'!$K$38:$K$67))</f>
        <v>1623409.6540782608</v>
      </c>
      <c r="R97" s="100">
        <f>IF(OR(LEFT(D97,4)*1&lt;LEFT('General inputs'!$I$16,4)*1,LEFT(D97,4)*1&gt;LEFT('General inputs'!$I$16,4)+'General inputs'!$H$38-1),"",Q97/(1+'General inputs'!$H$34)^C97)</f>
        <v>526996.4600871799</v>
      </c>
      <c r="T97" s="109">
        <f>IF(LEFT(D97,4)*1&lt;LEFT('General inputs'!$I$18,4)*1+1,"",SUMIF('Reduction amount'!$D$38:$D$67,$D97,'Reduction amount'!$E$38:$E$67))</f>
        <v>627380.45060731121</v>
      </c>
      <c r="U97" s="100">
        <f>IF(OR(LEFT(D97,4)*1&lt;LEFT('General inputs'!$I$16,4)*1,LEFT(D97,4)*1&gt;LEFT('General inputs'!$I$16,4)+'General inputs'!$H$38-1),"",T97/(1+'General inputs'!$H$34)^C97)</f>
        <v>203662.25848624532</v>
      </c>
      <c r="V97" s="61"/>
    </row>
    <row r="98" spans="2:22" x14ac:dyDescent="0.2">
      <c r="B98" s="60"/>
      <c r="C98" s="52">
        <f>IF(D98='General inputs'!$I$16,0,IF(D98&lt;'General inputs'!$I$16,C99-1,C97+1))</f>
        <v>29</v>
      </c>
      <c r="D98" s="52" t="str">
        <f t="shared" si="1"/>
        <v>2054-55</v>
      </c>
      <c r="E98" s="100">
        <f>IF(LEFT(D98,4)*1&gt;LEFT('General inputs'!$I$16,4)+'General inputs'!$H$38-1,"",'ET inputs'!D71)</f>
        <v>15.196931912468918</v>
      </c>
      <c r="F98" s="100">
        <f>IF(LEFT(D98,4)*1&gt;LEFT('General inputs'!$I$16,4)+'General inputs'!$H$38-1,"",E98/(1+'General inputs'!$H$30)^C98)</f>
        <v>6.4487627751980012</v>
      </c>
      <c r="G98" s="100">
        <f>IF(LEFT(D98,4)*1&gt;LEFT('General inputs'!$I$16,4)+'General inputs'!$H$38-1,"",E98/(1+'General inputs'!$H$32)^C98)</f>
        <v>4.7389787564221271</v>
      </c>
      <c r="H98" s="100">
        <f>IF(LEFT(D98,4)*1&lt;LEFT('General inputs'!$I$16,4)*1,"",IF(LEFT(D98,4)*1&gt;LEFT('General inputs'!$I$16,4)+'General inputs'!$H$38-1,"",E98/(1+'General inputs'!$H$34)^C98))</f>
        <v>4.7389787564221271</v>
      </c>
      <c r="J98" s="104"/>
      <c r="K98" s="104"/>
      <c r="L98" s="100" t="str">
        <f>IF(LEFT(D98,4)*1&gt;LEFT('General inputs'!$I$18,4)*1,"",SUMIF('Post-1996 commissioned assets'!$F$22:$F$540,$D98,'Post-1996 commissioned assets'!$P$22:$P$540))</f>
        <v/>
      </c>
      <c r="M98" s="100" t="str">
        <f>IF(L98="","",L98/(1+'General inputs'!$H$32)^C98)</f>
        <v/>
      </c>
      <c r="N98" s="100">
        <f>IF(LEFT(D98,4)*1&lt;LEFT('General inputs'!$I$18,4)*1+1,"",SUMIF('Uncommissioned assets'!$F$22:$F$55,$D98,'Uncommissioned assets'!$P$22:$P$55))</f>
        <v>1289217.4435961833</v>
      </c>
      <c r="O98" s="100">
        <f>IF(N98="","",N98/(1+'General inputs'!$H$32)^C98)</f>
        <v>402026.81125381077</v>
      </c>
      <c r="Q98" s="109">
        <f>IF(LEFT(D98,4)*1&lt;LEFT('General inputs'!$I$18,4)*1+1,"",SUMIF('Reduction amount'!$J$38:$J$67,$D98,'Reduction amount'!$K$38:$K$67))</f>
        <v>1626440.724993434</v>
      </c>
      <c r="R98" s="100">
        <f>IF(OR(LEFT(D98,4)*1&lt;LEFT('General inputs'!$I$16,4)*1,LEFT(D98,4)*1&gt;LEFT('General inputs'!$I$16,4)+'General inputs'!$H$38-1),"",Q98/(1+'General inputs'!$H$34)^C98)</f>
        <v>507185.79833865212</v>
      </c>
      <c r="T98" s="109">
        <f>IF(LEFT(D98,4)*1&lt;LEFT('General inputs'!$I$18,4)*1+1,"",SUMIF('Reduction amount'!$D$38:$D$67,$D98,'Reduction amount'!$E$38:$E$67))</f>
        <v>630362.14406123082</v>
      </c>
      <c r="U98" s="100">
        <f>IF(OR(LEFT(D98,4)*1&lt;LEFT('General inputs'!$I$16,4)*1,LEFT(D98,4)*1&gt;LEFT('General inputs'!$I$16,4)+'General inputs'!$H$38-1),"",T98/(1+'General inputs'!$H$34)^C98)</f>
        <v>196570.78328474003</v>
      </c>
      <c r="V98" s="61"/>
    </row>
    <row r="99" spans="2:22" x14ac:dyDescent="0.2">
      <c r="B99" s="60"/>
      <c r="C99" s="52">
        <f>IF(D99='General inputs'!$I$16,0,IF(D99&lt;'General inputs'!$I$16,C100-1,C98+1))</f>
        <v>30</v>
      </c>
      <c r="D99" s="52" t="str">
        <f t="shared" si="1"/>
        <v>2055-56</v>
      </c>
      <c r="E99" s="100" t="str">
        <f>IF(LEFT(D99,4)*1&gt;LEFT('General inputs'!$I$16,4)+'General inputs'!$H$38-1,"",'ET inputs'!D72)</f>
        <v/>
      </c>
      <c r="F99" s="100" t="str">
        <f>IF(LEFT(D99,4)*1&gt;LEFT('General inputs'!$I$16,4)+'General inputs'!$H$38-1,"",E99/(1+'General inputs'!$H$30)^C99)</f>
        <v/>
      </c>
      <c r="G99" s="100" t="str">
        <f>IF(LEFT(D99,4)*1&gt;LEFT('General inputs'!$I$16,4)+'General inputs'!$H$38-1,"",E99/(1+'General inputs'!$H$32)^C99)</f>
        <v/>
      </c>
      <c r="H99" s="100" t="str">
        <f>IF(LEFT(D99,4)*1&lt;LEFT('General inputs'!$I$16,4)*1,"",IF(LEFT(D99,4)*1&gt;LEFT('General inputs'!$I$16,4)+'General inputs'!$H$38-1,"",E99/(1+'General inputs'!$H$34)^C99))</f>
        <v/>
      </c>
      <c r="J99" s="104"/>
      <c r="K99" s="104"/>
      <c r="L99" s="100" t="str">
        <f>IF(LEFT(D99,4)*1&gt;LEFT('General inputs'!$I$18,4)*1,"",SUMIF('Post-1996 commissioned assets'!$F$22:$F$540,$D99,'Post-1996 commissioned assets'!$P$22:$P$540))</f>
        <v/>
      </c>
      <c r="M99" s="100" t="str">
        <f>IF(L99="","",L99/(1+'General inputs'!$H$32)^C99)</f>
        <v/>
      </c>
      <c r="N99" s="100">
        <f>IF(LEFT(D99,4)*1&lt;LEFT('General inputs'!$I$18,4)*1+1,"",SUMIF('Uncommissioned assets'!$F$22:$F$55,$D99,'Uncommissioned assets'!$P$22:$P$55))</f>
        <v>0</v>
      </c>
      <c r="O99" s="100">
        <f>IF(N99="","",N99/(1+'General inputs'!$H$32)^C99)</f>
        <v>0</v>
      </c>
      <c r="Q99" s="102"/>
      <c r="R99" s="100" t="str">
        <f>IF(OR(LEFT(D99,4)*1&lt;LEFT('General inputs'!$I$16,4)*1,LEFT(D99,4)*1&gt;LEFT('General inputs'!$I$16,4)+'General inputs'!$H$38-1),"",Q99/(1+'General inputs'!$H$34)^C99)</f>
        <v/>
      </c>
      <c r="T99" s="109"/>
      <c r="U99" s="100" t="str">
        <f>IF(OR(LEFT(D99,4)*1&lt;LEFT('General inputs'!$I$16,4)*1,LEFT(D99,4)*1&gt;LEFT('General inputs'!$I$16,4)+'General inputs'!$H$38-1),"",T99/(1+'General inputs'!$H$34)^C99)</f>
        <v/>
      </c>
      <c r="V99" s="61"/>
    </row>
    <row r="100" spans="2:22" x14ac:dyDescent="0.2">
      <c r="B100" s="60"/>
      <c r="C100" s="52">
        <f>IF(D100='General inputs'!$I$16,0,IF(D100&lt;'General inputs'!$I$16,C101-1,C99+1))</f>
        <v>31</v>
      </c>
      <c r="D100" s="52" t="str">
        <f t="shared" ref="D100:D122" si="3">LEFT(D99,4)+1&amp;"-"&amp;RIGHT(D99,2)+1</f>
        <v>2056-57</v>
      </c>
      <c r="E100" s="100" t="str">
        <f>IF(LEFT(D100,4)*1&gt;LEFT('General inputs'!$I$16,4)+'General inputs'!$H$38-1,"",'ET inputs'!D73)</f>
        <v/>
      </c>
      <c r="F100" s="100" t="str">
        <f>IF(LEFT(D100,4)*1&gt;LEFT('General inputs'!$I$16,4)+'General inputs'!$H$38-1,"",E100/(1+'General inputs'!$H$30)^C100)</f>
        <v/>
      </c>
      <c r="G100" s="100" t="str">
        <f>IF(LEFT(D100,4)*1&gt;LEFT('General inputs'!$I$16,4)+'General inputs'!$H$38-1,"",E100/(1+'General inputs'!$H$32)^C100)</f>
        <v/>
      </c>
      <c r="H100" s="100" t="str">
        <f>IF(LEFT(D100,4)*1&lt;LEFT('General inputs'!$I$16,4)*1,"",IF(LEFT(D100,4)*1&gt;LEFT('General inputs'!$I$16,4)+'General inputs'!$H$38-1,"",E100/(1+'General inputs'!$H$34)^C100))</f>
        <v/>
      </c>
      <c r="J100" s="104"/>
      <c r="K100" s="104"/>
      <c r="L100" s="100" t="str">
        <f>IF(LEFT(D100,4)*1&gt;LEFT('General inputs'!$I$18,4)*1,"",SUMIF('Post-1996 commissioned assets'!$F$22:$F$540,$D100,'Post-1996 commissioned assets'!$P$22:$P$540))</f>
        <v/>
      </c>
      <c r="M100" s="100" t="str">
        <f>IF(L100="","",L100/(1+'General inputs'!$H$32)^C100)</f>
        <v/>
      </c>
      <c r="N100" s="100">
        <f>IF(LEFT(D100,4)*1&lt;LEFT('General inputs'!$I$18,4)*1+1,"",SUMIF('Uncommissioned assets'!$F$22:$F$55,$D100,'Uncommissioned assets'!$P$22:$P$55))</f>
        <v>0</v>
      </c>
      <c r="O100" s="100">
        <f>IF(N100="","",N100/(1+'General inputs'!$H$32)^C100)</f>
        <v>0</v>
      </c>
      <c r="Q100" s="102"/>
      <c r="R100" s="100" t="str">
        <f>IF(OR(LEFT(D100,4)*1&lt;LEFT('General inputs'!$I$16,4)*1,LEFT(D100,4)*1&gt;LEFT('General inputs'!$I$16,4)+'General inputs'!$H$38-1),"",Q100/(1+'General inputs'!$H$34)^C100)</f>
        <v/>
      </c>
      <c r="T100" s="109"/>
      <c r="U100" s="100" t="str">
        <f>IF(OR(LEFT(D100,4)*1&lt;LEFT('General inputs'!$I$16,4)*1,LEFT(D100,4)*1&gt;LEFT('General inputs'!$I$16,4)+'General inputs'!$H$38-1),"",T100/(1+'General inputs'!$H$34)^C100)</f>
        <v/>
      </c>
      <c r="V100" s="61"/>
    </row>
    <row r="101" spans="2:22" x14ac:dyDescent="0.2">
      <c r="B101" s="60"/>
      <c r="C101" s="52">
        <f>IF(D101='General inputs'!$I$16,0,IF(D101&lt;'General inputs'!$I$16,C102-1,C100+1))</f>
        <v>32</v>
      </c>
      <c r="D101" s="52" t="str">
        <f t="shared" si="3"/>
        <v>2057-58</v>
      </c>
      <c r="E101" s="100" t="str">
        <f>IF(LEFT(D101,4)*1&gt;LEFT('General inputs'!$I$16,4)+'General inputs'!$H$38-1,"",'ET inputs'!D74)</f>
        <v/>
      </c>
      <c r="F101" s="100" t="str">
        <f>IF(LEFT(D101,4)*1&gt;LEFT('General inputs'!$I$16,4)+'General inputs'!$H$38-1,"",E101/(1+'General inputs'!$H$30)^C101)</f>
        <v/>
      </c>
      <c r="G101" s="100" t="str">
        <f>IF(LEFT(D101,4)*1&gt;LEFT('General inputs'!$I$16,4)+'General inputs'!$H$38-1,"",E101/(1+'General inputs'!$H$32)^C101)</f>
        <v/>
      </c>
      <c r="H101" s="100" t="str">
        <f>IF(LEFT(D101,4)*1&lt;LEFT('General inputs'!$I$16,4)*1,"",IF(LEFT(D101,4)*1&gt;LEFT('General inputs'!$I$16,4)+'General inputs'!$H$38-1,"",E101/(1+'General inputs'!$H$34)^C101))</f>
        <v/>
      </c>
      <c r="J101" s="104"/>
      <c r="K101" s="104"/>
      <c r="L101" s="100" t="str">
        <f>IF(LEFT(D101,4)*1&gt;LEFT('General inputs'!$I$18,4)*1,"",SUMIF('Post-1996 commissioned assets'!$F$22:$F$540,$D101,'Post-1996 commissioned assets'!$P$22:$P$540))</f>
        <v/>
      </c>
      <c r="M101" s="100" t="str">
        <f>IF(L101="","",L101/(1+'General inputs'!$H$32)^C101)</f>
        <v/>
      </c>
      <c r="N101" s="100">
        <f>IF(LEFT(D101,4)*1&lt;LEFT('General inputs'!$I$18,4)*1+1,"",SUMIF('Uncommissioned assets'!$F$22:$F$55,$D101,'Uncommissioned assets'!$P$22:$P$55))</f>
        <v>0</v>
      </c>
      <c r="O101" s="100">
        <f>IF(N101="","",N101/(1+'General inputs'!$H$32)^C101)</f>
        <v>0</v>
      </c>
      <c r="Q101" s="102"/>
      <c r="R101" s="100" t="str">
        <f>IF(OR(LEFT(D101,4)*1&lt;LEFT('General inputs'!$I$16,4)*1,LEFT(D101,4)*1&gt;LEFT('General inputs'!$I$16,4)+'General inputs'!$H$38-1),"",Q101/(1+'General inputs'!$H$34)^C101)</f>
        <v/>
      </c>
      <c r="T101" s="109"/>
      <c r="U101" s="100" t="str">
        <f>IF(OR(LEFT(D101,4)*1&lt;LEFT('General inputs'!$I$16,4)*1,LEFT(D101,4)*1&gt;LEFT('General inputs'!$I$16,4)+'General inputs'!$H$38-1),"",T101/(1+'General inputs'!$H$34)^C101)</f>
        <v/>
      </c>
      <c r="V101" s="61"/>
    </row>
    <row r="102" spans="2:22" x14ac:dyDescent="0.2">
      <c r="B102" s="60"/>
      <c r="C102" s="52">
        <f>IF(D102='General inputs'!$I$16,0,IF(D102&lt;'General inputs'!$I$16,C103-1,C101+1))</f>
        <v>33</v>
      </c>
      <c r="D102" s="52" t="str">
        <f t="shared" si="3"/>
        <v>2058-59</v>
      </c>
      <c r="E102" s="100" t="str">
        <f>IF(LEFT(D102,4)*1&gt;LEFT('General inputs'!$I$16,4)+'General inputs'!$H$38-1,"",'ET inputs'!D75)</f>
        <v/>
      </c>
      <c r="F102" s="100" t="str">
        <f>IF(LEFT(D102,4)*1&gt;LEFT('General inputs'!$I$16,4)+'General inputs'!$H$38-1,"",E102/(1+'General inputs'!$H$30)^C102)</f>
        <v/>
      </c>
      <c r="G102" s="100" t="str">
        <f>IF(LEFT(D102,4)*1&gt;LEFT('General inputs'!$I$16,4)+'General inputs'!$H$38-1,"",E102/(1+'General inputs'!$H$32)^C102)</f>
        <v/>
      </c>
      <c r="H102" s="100" t="str">
        <f>IF(LEFT(D102,4)*1&lt;LEFT('General inputs'!$I$16,4)*1,"",IF(LEFT(D102,4)*1&gt;LEFT('General inputs'!$I$16,4)+'General inputs'!$H$38-1,"",E102/(1+'General inputs'!$H$34)^C102))</f>
        <v/>
      </c>
      <c r="J102" s="104"/>
      <c r="K102" s="104"/>
      <c r="L102" s="100" t="str">
        <f>IF(LEFT(D102,4)*1&gt;LEFT('General inputs'!$I$18,4)*1,"",SUMIF('Post-1996 commissioned assets'!$F$22:$F$540,$D102,'Post-1996 commissioned assets'!$P$22:$P$540))</f>
        <v/>
      </c>
      <c r="M102" s="100" t="str">
        <f>IF(L102="","",L102/(1+'General inputs'!$H$32)^C102)</f>
        <v/>
      </c>
      <c r="N102" s="100">
        <f>IF(LEFT(D102,4)*1&lt;LEFT('General inputs'!$I$18,4)*1+1,"",SUMIF('Uncommissioned assets'!$F$22:$F$55,$D102,'Uncommissioned assets'!$P$22:$P$55))</f>
        <v>0</v>
      </c>
      <c r="O102" s="100">
        <f>IF(N102="","",N102/(1+'General inputs'!$H$32)^C102)</f>
        <v>0</v>
      </c>
      <c r="Q102" s="102"/>
      <c r="R102" s="100" t="str">
        <f>IF(OR(LEFT(D102,4)*1&lt;LEFT('General inputs'!$I$16,4)*1,LEFT(D102,4)*1&gt;LEFT('General inputs'!$I$16,4)+'General inputs'!$H$38-1),"",Q102/(1+'General inputs'!$H$34)^C102)</f>
        <v/>
      </c>
      <c r="T102" s="109"/>
      <c r="U102" s="100" t="str">
        <f>IF(OR(LEFT(D102,4)*1&lt;LEFT('General inputs'!$I$16,4)*1,LEFT(D102,4)*1&gt;LEFT('General inputs'!$I$16,4)+'General inputs'!$H$38-1),"",T102/(1+'General inputs'!$H$34)^C102)</f>
        <v/>
      </c>
      <c r="V102" s="61"/>
    </row>
    <row r="103" spans="2:22" x14ac:dyDescent="0.2">
      <c r="B103" s="60"/>
      <c r="C103" s="52">
        <f>IF(D103='General inputs'!$I$16,0,IF(D103&lt;'General inputs'!$I$16,C104-1,C102+1))</f>
        <v>34</v>
      </c>
      <c r="D103" s="52" t="str">
        <f t="shared" si="3"/>
        <v>2059-60</v>
      </c>
      <c r="E103" s="100" t="str">
        <f>IF(LEFT(D103,4)*1&gt;LEFT('General inputs'!$I$16,4)+'General inputs'!$H$38-1,"",'ET inputs'!D76)</f>
        <v/>
      </c>
      <c r="F103" s="100" t="str">
        <f>IF(LEFT(D103,4)*1&gt;LEFT('General inputs'!$I$16,4)+'General inputs'!$H$38-1,"",E103/(1+'General inputs'!$H$30)^C103)</f>
        <v/>
      </c>
      <c r="G103" s="100" t="str">
        <f>IF(LEFT(D103,4)*1&gt;LEFT('General inputs'!$I$16,4)+'General inputs'!$H$38-1,"",E103/(1+'General inputs'!$H$32)^C103)</f>
        <v/>
      </c>
      <c r="H103" s="100" t="str">
        <f>IF(LEFT(D103,4)*1&lt;LEFT('General inputs'!$I$16,4)*1,"",IF(LEFT(D103,4)*1&gt;LEFT('General inputs'!$I$16,4)+'General inputs'!$H$38-1,"",E103/(1+'General inputs'!$H$34)^C103))</f>
        <v/>
      </c>
      <c r="J103" s="104"/>
      <c r="K103" s="104"/>
      <c r="L103" s="100" t="str">
        <f>IF(LEFT(D103,4)*1&gt;LEFT('General inputs'!$I$18,4)*1,"",SUMIF('Post-1996 commissioned assets'!$F$22:$F$540,$D103,'Post-1996 commissioned assets'!$P$22:$P$540))</f>
        <v/>
      </c>
      <c r="M103" s="100" t="str">
        <f>IF(L103="","",L103/(1+'General inputs'!$H$32)^C103)</f>
        <v/>
      </c>
      <c r="N103" s="100">
        <f>IF(LEFT(D103,4)*1&lt;LEFT('General inputs'!$I$18,4)*1+1,"",SUMIF('Uncommissioned assets'!$F$22:$F$55,$D103,'Uncommissioned assets'!$P$22:$P$55))</f>
        <v>0</v>
      </c>
      <c r="O103" s="100">
        <f>IF(N103="","",N103/(1+'General inputs'!$H$32)^C103)</f>
        <v>0</v>
      </c>
      <c r="Q103" s="102"/>
      <c r="R103" s="100" t="str">
        <f>IF(OR(LEFT(D103,4)*1&lt;LEFT('General inputs'!$I$16,4)*1,LEFT(D103,4)*1&gt;LEFT('General inputs'!$I$16,4)+'General inputs'!$H$38-1),"",Q103/(1+'General inputs'!$H$34)^C103)</f>
        <v/>
      </c>
      <c r="T103" s="109"/>
      <c r="U103" s="100" t="str">
        <f>IF(OR(LEFT(D103,4)*1&lt;LEFT('General inputs'!$I$16,4)*1,LEFT(D103,4)*1&gt;LEFT('General inputs'!$I$16,4)+'General inputs'!$H$38-1),"",T103/(1+'General inputs'!$H$34)^C103)</f>
        <v/>
      </c>
      <c r="V103" s="61"/>
    </row>
    <row r="104" spans="2:22" x14ac:dyDescent="0.2">
      <c r="B104" s="60"/>
      <c r="C104" s="52">
        <f>IF(D104='General inputs'!$I$16,0,IF(D104&lt;'General inputs'!$I$16,C105-1,C103+1))</f>
        <v>35</v>
      </c>
      <c r="D104" s="52" t="str">
        <f t="shared" si="3"/>
        <v>2060-61</v>
      </c>
      <c r="E104" s="100" t="str">
        <f>IF(LEFT(D104,4)*1&gt;LEFT('General inputs'!$I$16,4)+'General inputs'!$H$38-1,"",'ET inputs'!D77)</f>
        <v/>
      </c>
      <c r="F104" s="100" t="str">
        <f>IF(LEFT(D104,4)*1&gt;LEFT('General inputs'!$I$16,4)+'General inputs'!$H$38-1,"",E104/(1+'General inputs'!$H$30)^C104)</f>
        <v/>
      </c>
      <c r="G104" s="100" t="str">
        <f>IF(LEFT(D104,4)*1&gt;LEFT('General inputs'!$I$16,4)+'General inputs'!$H$38-1,"",E104/(1+'General inputs'!$H$32)^C104)</f>
        <v/>
      </c>
      <c r="H104" s="100" t="str">
        <f>IF(LEFT(D104,4)*1&lt;LEFT('General inputs'!$I$16,4)*1,"",IF(LEFT(D104,4)*1&gt;LEFT('General inputs'!$I$16,4)+'General inputs'!$H$38-1,"",E104/(1+'General inputs'!$H$34)^C104))</f>
        <v/>
      </c>
      <c r="J104" s="104"/>
      <c r="K104" s="104"/>
      <c r="L104" s="100" t="str">
        <f>IF(LEFT(D104,4)*1&gt;LEFT('General inputs'!$I$18,4)*1,"",SUMIF('Post-1996 commissioned assets'!$F$22:$F$540,$D104,'Post-1996 commissioned assets'!$P$22:$P$540))</f>
        <v/>
      </c>
      <c r="M104" s="100" t="str">
        <f>IF(L104="","",L104/(1+'General inputs'!$H$32)^C104)</f>
        <v/>
      </c>
      <c r="N104" s="100">
        <f>IF(LEFT(D104,4)*1&lt;LEFT('General inputs'!$I$18,4)*1+1,"",SUMIF('Uncommissioned assets'!$F$22:$F$55,$D104,'Uncommissioned assets'!$P$22:$P$55))</f>
        <v>0</v>
      </c>
      <c r="O104" s="100">
        <f>IF(N104="","",N104/(1+'General inputs'!$H$32)^C104)</f>
        <v>0</v>
      </c>
      <c r="Q104" s="102"/>
      <c r="R104" s="100" t="str">
        <f>IF(OR(LEFT(D104,4)*1&lt;LEFT('General inputs'!$I$16,4)*1,LEFT(D104,4)*1&gt;LEFT('General inputs'!$I$16,4)+'General inputs'!$H$38-1),"",Q104/(1+'General inputs'!$H$34)^C104)</f>
        <v/>
      </c>
      <c r="T104" s="109"/>
      <c r="U104" s="100" t="str">
        <f>IF(OR(LEFT(D104,4)*1&lt;LEFT('General inputs'!$I$16,4)*1,LEFT(D104,4)*1&gt;LEFT('General inputs'!$I$16,4)+'General inputs'!$H$38-1),"",T104/(1+'General inputs'!$H$34)^C104)</f>
        <v/>
      </c>
      <c r="V104" s="61"/>
    </row>
    <row r="105" spans="2:22" x14ac:dyDescent="0.2">
      <c r="B105" s="60"/>
      <c r="C105" s="52">
        <f>IF(D105='General inputs'!$I$16,0,IF(D105&lt;'General inputs'!$I$16,C106-1,C104+1))</f>
        <v>36</v>
      </c>
      <c r="D105" s="52" t="str">
        <f t="shared" si="3"/>
        <v>2061-62</v>
      </c>
      <c r="E105" s="100" t="str">
        <f>IF(LEFT(D105,4)*1&gt;LEFT('General inputs'!$I$16,4)+'General inputs'!$H$38-1,"",'ET inputs'!D78)</f>
        <v/>
      </c>
      <c r="F105" s="100" t="str">
        <f>IF(LEFT(D105,4)*1&gt;LEFT('General inputs'!$I$16,4)+'General inputs'!$H$38-1,"",E105/(1+'General inputs'!$H$30)^C105)</f>
        <v/>
      </c>
      <c r="G105" s="100" t="str">
        <f>IF(LEFT(D105,4)*1&gt;LEFT('General inputs'!$I$16,4)+'General inputs'!$H$38-1,"",E105/(1+'General inputs'!$H$32)^C105)</f>
        <v/>
      </c>
      <c r="H105" s="100" t="str">
        <f>IF(LEFT(D105,4)*1&lt;LEFT('General inputs'!$I$16,4)*1,"",IF(LEFT(D105,4)*1&gt;LEFT('General inputs'!$I$16,4)+'General inputs'!$H$38-1,"",E105/(1+'General inputs'!$H$34)^C105))</f>
        <v/>
      </c>
      <c r="J105" s="104"/>
      <c r="K105" s="104"/>
      <c r="L105" s="100" t="str">
        <f>IF(LEFT(D105,4)*1&gt;LEFT('General inputs'!$I$18,4)*1,"",SUMIF('Post-1996 commissioned assets'!$F$22:$F$540,$D105,'Post-1996 commissioned assets'!$P$22:$P$540))</f>
        <v/>
      </c>
      <c r="M105" s="100" t="str">
        <f>IF(L105="","",L105/(1+'General inputs'!$H$32)^C105)</f>
        <v/>
      </c>
      <c r="N105" s="100">
        <f>IF(LEFT(D105,4)*1&lt;LEFT('General inputs'!$I$18,4)*1+1,"",SUMIF('Uncommissioned assets'!$F$22:$F$55,$D105,'Uncommissioned assets'!$P$22:$P$55))</f>
        <v>0</v>
      </c>
      <c r="O105" s="100">
        <f>IF(N105="","",N105/(1+'General inputs'!$H$32)^C105)</f>
        <v>0</v>
      </c>
      <c r="Q105" s="102"/>
      <c r="R105" s="100" t="str">
        <f>IF(OR(LEFT(D105,4)*1&lt;LEFT('General inputs'!$I$16,4)*1,LEFT(D105,4)*1&gt;LEFT('General inputs'!$I$16,4)+'General inputs'!$H$38-1),"",Q105/(1+'General inputs'!$H$34)^C105)</f>
        <v/>
      </c>
      <c r="T105" s="109"/>
      <c r="U105" s="100" t="str">
        <f>IF(OR(LEFT(D105,4)*1&lt;LEFT('General inputs'!$I$16,4)*1,LEFT(D105,4)*1&gt;LEFT('General inputs'!$I$16,4)+'General inputs'!$H$38-1),"",T105/(1+'General inputs'!$H$34)^C105)</f>
        <v/>
      </c>
      <c r="V105" s="61"/>
    </row>
    <row r="106" spans="2:22" x14ac:dyDescent="0.2">
      <c r="B106" s="60"/>
      <c r="C106" s="52">
        <f>IF(D106='General inputs'!$I$16,0,IF(D106&lt;'General inputs'!$I$16,C107-1,C105+1))</f>
        <v>37</v>
      </c>
      <c r="D106" s="52" t="str">
        <f t="shared" si="3"/>
        <v>2062-63</v>
      </c>
      <c r="E106" s="100" t="str">
        <f>IF(LEFT(D106,4)*1&gt;LEFT('General inputs'!$I$16,4)+'General inputs'!$H$38-1,"",'ET inputs'!D79)</f>
        <v/>
      </c>
      <c r="F106" s="100" t="str">
        <f>IF(LEFT(D106,4)*1&gt;LEFT('General inputs'!$I$16,4)+'General inputs'!$H$38-1,"",E106/(1+'General inputs'!$H$30)^C106)</f>
        <v/>
      </c>
      <c r="G106" s="100" t="str">
        <f>IF(LEFT(D106,4)*1&gt;LEFT('General inputs'!$I$16,4)+'General inputs'!$H$38-1,"",E106/(1+'General inputs'!$H$32)^C106)</f>
        <v/>
      </c>
      <c r="H106" s="100" t="str">
        <f>IF(LEFT(D106,4)*1&lt;LEFT('General inputs'!$I$16,4)*1,"",IF(LEFT(D106,4)*1&gt;LEFT('General inputs'!$I$16,4)+'General inputs'!$H$38-1,"",E106/(1+'General inputs'!$H$34)^C106))</f>
        <v/>
      </c>
      <c r="J106" s="104"/>
      <c r="K106" s="104"/>
      <c r="L106" s="100" t="str">
        <f>IF(LEFT(D106,4)*1&gt;LEFT('General inputs'!$I$18,4)*1,"",SUMIF('Post-1996 commissioned assets'!$F$22:$F$540,$D106,'Post-1996 commissioned assets'!$P$22:$P$540))</f>
        <v/>
      </c>
      <c r="M106" s="100" t="str">
        <f>IF(L106="","",L106/(1+'General inputs'!$H$32)^C106)</f>
        <v/>
      </c>
      <c r="N106" s="100">
        <f>IF(LEFT(D106,4)*1&lt;LEFT('General inputs'!$I$18,4)*1+1,"",SUMIF('Uncommissioned assets'!$F$22:$F$55,$D106,'Uncommissioned assets'!$P$22:$P$55))</f>
        <v>0</v>
      </c>
      <c r="O106" s="100">
        <f>IF(N106="","",N106/(1+'General inputs'!$H$32)^C106)</f>
        <v>0</v>
      </c>
      <c r="Q106" s="102"/>
      <c r="R106" s="100" t="str">
        <f>IF(OR(LEFT(D106,4)*1&lt;LEFT('General inputs'!$I$16,4)*1,LEFT(D106,4)*1&gt;LEFT('General inputs'!$I$16,4)+'General inputs'!$H$38-1),"",Q106/(1+'General inputs'!$H$34)^C106)</f>
        <v/>
      </c>
      <c r="T106" s="109"/>
      <c r="U106" s="100" t="str">
        <f>IF(OR(LEFT(D106,4)*1&lt;LEFT('General inputs'!$I$16,4)*1,LEFT(D106,4)*1&gt;LEFT('General inputs'!$I$16,4)+'General inputs'!$H$38-1),"",T106/(1+'General inputs'!$H$34)^C106)</f>
        <v/>
      </c>
      <c r="V106" s="61"/>
    </row>
    <row r="107" spans="2:22" x14ac:dyDescent="0.2">
      <c r="B107" s="60"/>
      <c r="C107" s="52">
        <f>IF(D107='General inputs'!$I$16,0,IF(D107&lt;'General inputs'!$I$16,C108-1,C106+1))</f>
        <v>38</v>
      </c>
      <c r="D107" s="52" t="str">
        <f t="shared" si="3"/>
        <v>2063-64</v>
      </c>
      <c r="E107" s="100" t="str">
        <f>IF(LEFT(D107,4)*1&gt;LEFT('General inputs'!$I$16,4)+'General inputs'!$H$38-1,"",'ET inputs'!D80)</f>
        <v/>
      </c>
      <c r="F107" s="100" t="str">
        <f>IF(LEFT(D107,4)*1&gt;LEFT('General inputs'!$I$16,4)+'General inputs'!$H$38-1,"",E107/(1+'General inputs'!$H$30)^C107)</f>
        <v/>
      </c>
      <c r="G107" s="100" t="str">
        <f>IF(LEFT(D107,4)*1&gt;LEFT('General inputs'!$I$16,4)+'General inputs'!$H$38-1,"",E107/(1+'General inputs'!$H$32)^C107)</f>
        <v/>
      </c>
      <c r="H107" s="100" t="str">
        <f>IF(LEFT(D107,4)*1&lt;LEFT('General inputs'!$I$16,4)*1,"",IF(LEFT(D107,4)*1&gt;LEFT('General inputs'!$I$16,4)+'General inputs'!$H$38-1,"",E107/(1+'General inputs'!$H$34)^C107))</f>
        <v/>
      </c>
      <c r="J107" s="104"/>
      <c r="K107" s="104"/>
      <c r="L107" s="100" t="str">
        <f>IF(LEFT(D107,4)*1&gt;LEFT('General inputs'!$I$18,4)*1,"",SUMIF('Post-1996 commissioned assets'!$F$22:$F$540,$D107,'Post-1996 commissioned assets'!$P$22:$P$540))</f>
        <v/>
      </c>
      <c r="M107" s="100" t="str">
        <f>IF(L107="","",L107/(1+'General inputs'!$H$32)^C107)</f>
        <v/>
      </c>
      <c r="N107" s="100">
        <f>IF(LEFT(D107,4)*1&lt;LEFT('General inputs'!$I$18,4)*1+1,"",SUMIF('Uncommissioned assets'!$F$22:$F$55,$D107,'Uncommissioned assets'!$P$22:$P$55))</f>
        <v>0</v>
      </c>
      <c r="O107" s="100">
        <f>IF(N107="","",N107/(1+'General inputs'!$H$32)^C107)</f>
        <v>0</v>
      </c>
      <c r="Q107" s="102"/>
      <c r="R107" s="100" t="str">
        <f>IF(OR(LEFT(D107,4)*1&lt;LEFT('General inputs'!$I$16,4)*1,LEFT(D107,4)*1&gt;LEFT('General inputs'!$I$16,4)+'General inputs'!$H$38-1),"",Q107/(1+'General inputs'!$H$34)^C107)</f>
        <v/>
      </c>
      <c r="T107" s="109"/>
      <c r="U107" s="100" t="str">
        <f>IF(OR(LEFT(D107,4)*1&lt;LEFT('General inputs'!$I$16,4)*1,LEFT(D107,4)*1&gt;LEFT('General inputs'!$I$16,4)+'General inputs'!$H$38-1),"",T107/(1+'General inputs'!$H$34)^C107)</f>
        <v/>
      </c>
      <c r="V107" s="61"/>
    </row>
    <row r="108" spans="2:22" x14ac:dyDescent="0.2">
      <c r="B108" s="60"/>
      <c r="C108" s="52">
        <f>IF(D108='General inputs'!$I$16,0,IF(D108&lt;'General inputs'!$I$16,C109-1,C107+1))</f>
        <v>39</v>
      </c>
      <c r="D108" s="52" t="str">
        <f t="shared" si="3"/>
        <v>2064-65</v>
      </c>
      <c r="E108" s="100" t="str">
        <f>IF(LEFT(D108,4)*1&gt;LEFT('General inputs'!$I$16,4)+'General inputs'!$H$38-1,"",'ET inputs'!D81)</f>
        <v/>
      </c>
      <c r="F108" s="100" t="str">
        <f>IF(LEFT(D108,4)*1&gt;LEFT('General inputs'!$I$16,4)+'General inputs'!$H$38-1,"",E108/(1+'General inputs'!$H$30)^C108)</f>
        <v/>
      </c>
      <c r="G108" s="100" t="str">
        <f>IF(LEFT(D108,4)*1&gt;LEFT('General inputs'!$I$16,4)+'General inputs'!$H$38-1,"",E108/(1+'General inputs'!$H$32)^C108)</f>
        <v/>
      </c>
      <c r="H108" s="100" t="str">
        <f>IF(LEFT(D108,4)*1&lt;LEFT('General inputs'!$I$16,4)*1,"",IF(LEFT(D108,4)*1&gt;LEFT('General inputs'!$I$16,4)+'General inputs'!$H$38-1,"",E108/(1+'General inputs'!$H$34)^C108))</f>
        <v/>
      </c>
      <c r="J108" s="104"/>
      <c r="K108" s="104"/>
      <c r="L108" s="100" t="str">
        <f>IF(LEFT(D108,4)*1&gt;LEFT('General inputs'!$I$18,4)*1,"",SUMIF('Post-1996 commissioned assets'!$F$22:$F$540,$D108,'Post-1996 commissioned assets'!$P$22:$P$540))</f>
        <v/>
      </c>
      <c r="M108" s="100" t="str">
        <f>IF(L108="","",L108/(1+'General inputs'!$H$32)^C108)</f>
        <v/>
      </c>
      <c r="N108" s="100">
        <f>IF(LEFT(D108,4)*1&lt;LEFT('General inputs'!$I$18,4)*1+1,"",SUMIF('Uncommissioned assets'!$F$22:$F$55,$D108,'Uncommissioned assets'!$P$22:$P$55))</f>
        <v>0</v>
      </c>
      <c r="O108" s="100">
        <f>IF(N108="","",N108/(1+'General inputs'!$H$32)^C108)</f>
        <v>0</v>
      </c>
      <c r="Q108" s="102"/>
      <c r="R108" s="100" t="str">
        <f>IF(OR(LEFT(D108,4)*1&lt;LEFT('General inputs'!$I$16,4)*1,LEFT(D108,4)*1&gt;LEFT('General inputs'!$I$16,4)+'General inputs'!$H$38-1),"",Q108/(1+'General inputs'!$H$34)^C108)</f>
        <v/>
      </c>
      <c r="T108" s="109"/>
      <c r="U108" s="100" t="str">
        <f>IF(OR(LEFT(D108,4)*1&lt;LEFT('General inputs'!$I$16,4)*1,LEFT(D108,4)*1&gt;LEFT('General inputs'!$I$16,4)+'General inputs'!$H$38-1),"",T108/(1+'General inputs'!$H$34)^C108)</f>
        <v/>
      </c>
      <c r="V108" s="61"/>
    </row>
    <row r="109" spans="2:22" x14ac:dyDescent="0.2">
      <c r="B109" s="60"/>
      <c r="C109" s="52">
        <f>IF(D109='General inputs'!$I$16,0,IF(D109&lt;'General inputs'!$I$16,C110-1,C108+1))</f>
        <v>40</v>
      </c>
      <c r="D109" s="52" t="str">
        <f t="shared" si="3"/>
        <v>2065-66</v>
      </c>
      <c r="E109" s="100" t="str">
        <f>IF(LEFT(D109,4)*1&gt;LEFT('General inputs'!$I$16,4)+'General inputs'!$H$38-1,"",'ET inputs'!D82)</f>
        <v/>
      </c>
      <c r="F109" s="100" t="str">
        <f>IF(LEFT(D109,4)*1&gt;LEFT('General inputs'!$I$16,4)+'General inputs'!$H$38-1,"",E109/(1+'General inputs'!$H$30)^C109)</f>
        <v/>
      </c>
      <c r="G109" s="100" t="str">
        <f>IF(LEFT(D109,4)*1&gt;LEFT('General inputs'!$I$16,4)+'General inputs'!$H$38-1,"",E109/(1+'General inputs'!$H$32)^C109)</f>
        <v/>
      </c>
      <c r="H109" s="100" t="str">
        <f>IF(LEFT(D109,4)*1&lt;LEFT('General inputs'!$I$16,4)*1,"",IF(LEFT(D109,4)*1&gt;LEFT('General inputs'!$I$16,4)+'General inputs'!$H$38-1,"",E109/(1+'General inputs'!$H$34)^C109))</f>
        <v/>
      </c>
      <c r="J109" s="104"/>
      <c r="K109" s="104"/>
      <c r="L109" s="100" t="str">
        <f>IF(LEFT(D109,4)*1&gt;LEFT('General inputs'!$I$18,4)*1,"",SUMIF('Post-1996 commissioned assets'!$F$22:$F$540,$D109,'Post-1996 commissioned assets'!$P$22:$P$540))</f>
        <v/>
      </c>
      <c r="M109" s="100" t="str">
        <f>IF(L109="","",L109/(1+'General inputs'!$H$32)^C109)</f>
        <v/>
      </c>
      <c r="N109" s="100">
        <f>IF(LEFT(D109,4)*1&lt;LEFT('General inputs'!$I$18,4)*1+1,"",SUMIF('Uncommissioned assets'!$F$22:$F$55,$D109,'Uncommissioned assets'!$P$22:$P$55))</f>
        <v>0</v>
      </c>
      <c r="O109" s="100">
        <f>IF(N109="","",N109/(1+'General inputs'!$H$32)^C109)</f>
        <v>0</v>
      </c>
      <c r="Q109" s="102"/>
      <c r="R109" s="100" t="str">
        <f>IF(OR(LEFT(D109,4)*1&lt;LEFT('General inputs'!$I$16,4)*1,LEFT(D109,4)*1&gt;LEFT('General inputs'!$I$16,4)+'General inputs'!$H$38-1),"",Q109/(1+'General inputs'!$H$34)^C109)</f>
        <v/>
      </c>
      <c r="T109" s="109"/>
      <c r="U109" s="100" t="str">
        <f>IF(OR(LEFT(D109,4)*1&lt;LEFT('General inputs'!$I$16,4)*1,LEFT(D109,4)*1&gt;LEFT('General inputs'!$I$16,4)+'General inputs'!$H$38-1),"",T109/(1+'General inputs'!$H$34)^C109)</f>
        <v/>
      </c>
      <c r="V109" s="61"/>
    </row>
    <row r="110" spans="2:22" x14ac:dyDescent="0.2">
      <c r="B110" s="60"/>
      <c r="C110" s="52">
        <f>IF(D110='General inputs'!$I$16,0,IF(D110&lt;'General inputs'!$I$16,C111-1,C109+1))</f>
        <v>41</v>
      </c>
      <c r="D110" s="52" t="str">
        <f t="shared" si="3"/>
        <v>2066-67</v>
      </c>
      <c r="E110" s="100" t="str">
        <f>IF(LEFT(D110,4)*1&gt;LEFT('General inputs'!$I$16,4)+'General inputs'!$H$38-1,"",'ET inputs'!D83)</f>
        <v/>
      </c>
      <c r="F110" s="100" t="str">
        <f>IF(LEFT(D110,4)*1&gt;LEFT('General inputs'!$I$16,4)+'General inputs'!$H$38-1,"",E110/(1+'General inputs'!$H$30)^C110)</f>
        <v/>
      </c>
      <c r="G110" s="100" t="str">
        <f>IF(LEFT(D110,4)*1&gt;LEFT('General inputs'!$I$16,4)+'General inputs'!$H$38-1,"",E110/(1+'General inputs'!$H$32)^C110)</f>
        <v/>
      </c>
      <c r="H110" s="100" t="str">
        <f>IF(LEFT(D110,4)*1&lt;LEFT('General inputs'!$I$16,4)*1,"",IF(LEFT(D110,4)*1&gt;LEFT('General inputs'!$I$16,4)+'General inputs'!$H$38-1,"",E110/(1+'General inputs'!$H$34)^C110))</f>
        <v/>
      </c>
      <c r="J110" s="104"/>
      <c r="K110" s="104"/>
      <c r="L110" s="100" t="str">
        <f>IF(LEFT(D110,4)*1&gt;LEFT('General inputs'!$I$18,4)*1,"",SUMIF('Post-1996 commissioned assets'!$F$22:$F$540,$D110,'Post-1996 commissioned assets'!$P$22:$P$540))</f>
        <v/>
      </c>
      <c r="M110" s="100" t="str">
        <f>IF(L110="","",L110/(1+'General inputs'!$H$32)^C110)</f>
        <v/>
      </c>
      <c r="N110" s="100">
        <f>IF(LEFT(D110,4)*1&lt;LEFT('General inputs'!$I$18,4)*1+1,"",SUMIF('Uncommissioned assets'!$F$22:$F$55,$D110,'Uncommissioned assets'!$P$22:$P$55))</f>
        <v>0</v>
      </c>
      <c r="O110" s="100">
        <f>IF(N110="","",N110/(1+'General inputs'!$H$32)^C110)</f>
        <v>0</v>
      </c>
      <c r="Q110" s="102"/>
      <c r="R110" s="100" t="str">
        <f>IF(OR(LEFT(D110,4)*1&lt;LEFT('General inputs'!$I$16,4)*1,LEFT(D110,4)*1&gt;LEFT('General inputs'!$I$16,4)+'General inputs'!$H$38-1),"",Q110/(1+'General inputs'!$H$34)^C110)</f>
        <v/>
      </c>
      <c r="T110" s="109"/>
      <c r="U110" s="100" t="str">
        <f>IF(OR(LEFT(D110,4)*1&lt;LEFT('General inputs'!$I$16,4)*1,LEFT(D110,4)*1&gt;LEFT('General inputs'!$I$16,4)+'General inputs'!$H$38-1),"",T110/(1+'General inputs'!$H$34)^C110)</f>
        <v/>
      </c>
      <c r="V110" s="61"/>
    </row>
    <row r="111" spans="2:22" x14ac:dyDescent="0.2">
      <c r="B111" s="60"/>
      <c r="C111" s="52">
        <f>IF(D111='General inputs'!$I$16,0,IF(D111&lt;'General inputs'!$I$16,C112-1,C110+1))</f>
        <v>42</v>
      </c>
      <c r="D111" s="52" t="str">
        <f t="shared" si="3"/>
        <v>2067-68</v>
      </c>
      <c r="E111" s="100" t="str">
        <f>IF(LEFT(D111,4)*1&gt;LEFT('General inputs'!$I$16,4)+'General inputs'!$H$38-1,"",'ET inputs'!D84)</f>
        <v/>
      </c>
      <c r="F111" s="100" t="str">
        <f>IF(LEFT(D111,4)*1&gt;LEFT('General inputs'!$I$16,4)+'General inputs'!$H$38-1,"",E111/(1+'General inputs'!$H$30)^C111)</f>
        <v/>
      </c>
      <c r="G111" s="100" t="str">
        <f>IF(LEFT(D111,4)*1&gt;LEFT('General inputs'!$I$16,4)+'General inputs'!$H$38-1,"",E111/(1+'General inputs'!$H$32)^C111)</f>
        <v/>
      </c>
      <c r="H111" s="100" t="str">
        <f>IF(LEFT(D111,4)*1&lt;LEFT('General inputs'!$I$16,4)*1,"",IF(LEFT(D111,4)*1&gt;LEFT('General inputs'!$I$16,4)+'General inputs'!$H$38-1,"",E111/(1+'General inputs'!$H$34)^C111))</f>
        <v/>
      </c>
      <c r="J111" s="104"/>
      <c r="K111" s="104"/>
      <c r="L111" s="100" t="str">
        <f>IF(LEFT(D111,4)*1&gt;LEFT('General inputs'!$I$18,4)*1,"",SUMIF('Post-1996 commissioned assets'!$F$22:$F$540,$D111,'Post-1996 commissioned assets'!$P$22:$P$540))</f>
        <v/>
      </c>
      <c r="M111" s="100" t="str">
        <f>IF(L111="","",L111/(1+'General inputs'!$H$32)^C111)</f>
        <v/>
      </c>
      <c r="N111" s="100">
        <f>IF(LEFT(D111,4)*1&lt;LEFT('General inputs'!$I$18,4)*1+1,"",SUMIF('Uncommissioned assets'!$F$22:$F$55,$D111,'Uncommissioned assets'!$P$22:$P$55))</f>
        <v>0</v>
      </c>
      <c r="O111" s="100">
        <f>IF(N111="","",N111/(1+'General inputs'!$H$32)^C111)</f>
        <v>0</v>
      </c>
      <c r="Q111" s="102"/>
      <c r="R111" s="100" t="str">
        <f>IF(OR(LEFT(D111,4)*1&lt;LEFT('General inputs'!$I$16,4)*1,LEFT(D111,4)*1&gt;LEFT('General inputs'!$I$16,4)+'General inputs'!$H$38-1),"",Q111/(1+'General inputs'!$H$34)^C111)</f>
        <v/>
      </c>
      <c r="T111" s="109"/>
      <c r="U111" s="100" t="str">
        <f>IF(OR(LEFT(D111,4)*1&lt;LEFT('General inputs'!$I$16,4)*1,LEFT(D111,4)*1&gt;LEFT('General inputs'!$I$16,4)+'General inputs'!$H$38-1),"",T111/(1+'General inputs'!$H$34)^C111)</f>
        <v/>
      </c>
      <c r="V111" s="61"/>
    </row>
    <row r="112" spans="2:22" x14ac:dyDescent="0.2">
      <c r="B112" s="60"/>
      <c r="C112" s="52">
        <f>IF(D112='General inputs'!$I$16,0,IF(D112&lt;'General inputs'!$I$16,C113-1,C111+1))</f>
        <v>43</v>
      </c>
      <c r="D112" s="52" t="str">
        <f t="shared" si="3"/>
        <v>2068-69</v>
      </c>
      <c r="E112" s="100" t="str">
        <f>IF(LEFT(D112,4)*1&gt;LEFT('General inputs'!$I$16,4)+'General inputs'!$H$38-1,"",'ET inputs'!D85)</f>
        <v/>
      </c>
      <c r="F112" s="100" t="str">
        <f>IF(LEFT(D112,4)*1&gt;LEFT('General inputs'!$I$16,4)+'General inputs'!$H$38-1,"",E112/(1+'General inputs'!$H$30)^C112)</f>
        <v/>
      </c>
      <c r="G112" s="100" t="str">
        <f>IF(LEFT(D112,4)*1&gt;LEFT('General inputs'!$I$16,4)+'General inputs'!$H$38-1,"",E112/(1+'General inputs'!$H$32)^C112)</f>
        <v/>
      </c>
      <c r="H112" s="100" t="str">
        <f>IF(LEFT(D112,4)*1&lt;LEFT('General inputs'!$I$16,4)*1,"",IF(LEFT(D112,4)*1&gt;LEFT('General inputs'!$I$16,4)+'General inputs'!$H$38-1,"",E112/(1+'General inputs'!$H$34)^C112))</f>
        <v/>
      </c>
      <c r="J112" s="104"/>
      <c r="K112" s="104"/>
      <c r="L112" s="100" t="str">
        <f>IF(LEFT(D112,4)*1&gt;LEFT('General inputs'!$I$18,4)*1,"",SUMIF('Post-1996 commissioned assets'!$F$22:$F$540,$D112,'Post-1996 commissioned assets'!$P$22:$P$540))</f>
        <v/>
      </c>
      <c r="M112" s="100" t="str">
        <f>IF(L112="","",L112/(1+'General inputs'!$H$32)^C112)</f>
        <v/>
      </c>
      <c r="N112" s="100">
        <f>IF(LEFT(D112,4)*1&lt;LEFT('General inputs'!$I$18,4)*1+1,"",SUMIF('Uncommissioned assets'!$F$22:$F$55,$D112,'Uncommissioned assets'!$P$22:$P$55))</f>
        <v>0</v>
      </c>
      <c r="O112" s="100">
        <f>IF(N112="","",N112/(1+'General inputs'!$H$32)^C112)</f>
        <v>0</v>
      </c>
      <c r="Q112" s="102"/>
      <c r="R112" s="100" t="str">
        <f>IF(OR(LEFT(D112,4)*1&lt;LEFT('General inputs'!$I$16,4)*1,LEFT(D112,4)*1&gt;LEFT('General inputs'!$I$16,4)+'General inputs'!$H$38-1),"",Q112/(1+'General inputs'!$H$34)^C112)</f>
        <v/>
      </c>
      <c r="T112" s="109"/>
      <c r="U112" s="100" t="str">
        <f>IF(OR(LEFT(D112,4)*1&lt;LEFT('General inputs'!$I$16,4)*1,LEFT(D112,4)*1&gt;LEFT('General inputs'!$I$16,4)+'General inputs'!$H$38-1),"",T112/(1+'General inputs'!$H$34)^C112)</f>
        <v/>
      </c>
      <c r="V112" s="61"/>
    </row>
    <row r="113" spans="2:22" x14ac:dyDescent="0.2">
      <c r="B113" s="60"/>
      <c r="C113" s="52">
        <f>IF(D113='General inputs'!$I$16,0,IF(D113&lt;'General inputs'!$I$16,C114-1,C112+1))</f>
        <v>44</v>
      </c>
      <c r="D113" s="52" t="str">
        <f t="shared" si="3"/>
        <v>2069-70</v>
      </c>
      <c r="E113" s="100" t="str">
        <f>IF(LEFT(D113,4)*1&gt;LEFT('General inputs'!$I$16,4)+'General inputs'!$H$38-1,"",'ET inputs'!D86)</f>
        <v/>
      </c>
      <c r="F113" s="100" t="str">
        <f>IF(LEFT(D113,4)*1&gt;LEFT('General inputs'!$I$16,4)+'General inputs'!$H$38-1,"",E113/(1+'General inputs'!$H$30)^C113)</f>
        <v/>
      </c>
      <c r="G113" s="100" t="str">
        <f>IF(LEFT(D113,4)*1&gt;LEFT('General inputs'!$I$16,4)+'General inputs'!$H$38-1,"",E113/(1+'General inputs'!$H$32)^C113)</f>
        <v/>
      </c>
      <c r="H113" s="100" t="str">
        <f>IF(LEFT(D113,4)*1&lt;LEFT('General inputs'!$I$16,4)*1,"",IF(LEFT(D113,4)*1&gt;LEFT('General inputs'!$I$16,4)+'General inputs'!$H$38-1,"",E113/(1+'General inputs'!$H$34)^C113))</f>
        <v/>
      </c>
      <c r="J113" s="104"/>
      <c r="K113" s="104"/>
      <c r="L113" s="100" t="str">
        <f>IF(LEFT(D113,4)*1&gt;LEFT('General inputs'!$I$18,4)*1,"",SUMIF('Post-1996 commissioned assets'!$F$22:$F$540,$D113,'Post-1996 commissioned assets'!$P$22:$P$540))</f>
        <v/>
      </c>
      <c r="M113" s="100" t="str">
        <f>IF(L113="","",L113/(1+'General inputs'!$H$32)^C113)</f>
        <v/>
      </c>
      <c r="N113" s="100">
        <f>IF(LEFT(D113,4)*1&lt;LEFT('General inputs'!$I$18,4)*1+1,"",SUMIF('Uncommissioned assets'!$F$22:$F$55,$D113,'Uncommissioned assets'!$P$22:$P$55))</f>
        <v>0</v>
      </c>
      <c r="O113" s="100">
        <f>IF(N113="","",N113/(1+'General inputs'!$H$32)^C113)</f>
        <v>0</v>
      </c>
      <c r="Q113" s="102"/>
      <c r="R113" s="100" t="str">
        <f>IF(OR(LEFT(D113,4)*1&lt;LEFT('General inputs'!$I$16,4)*1,LEFT(D113,4)*1&gt;LEFT('General inputs'!$I$16,4)+'General inputs'!$H$38-1),"",Q113/(1+'General inputs'!$H$34)^C113)</f>
        <v/>
      </c>
      <c r="T113" s="109"/>
      <c r="U113" s="100" t="str">
        <f>IF(OR(LEFT(D113,4)*1&lt;LEFT('General inputs'!$I$16,4)*1,LEFT(D113,4)*1&gt;LEFT('General inputs'!$I$16,4)+'General inputs'!$H$38-1),"",T113/(1+'General inputs'!$H$34)^C113)</f>
        <v/>
      </c>
      <c r="V113" s="61"/>
    </row>
    <row r="114" spans="2:22" x14ac:dyDescent="0.2">
      <c r="B114" s="60"/>
      <c r="C114" s="52">
        <f>IF(D114='General inputs'!$I$16,0,IF(D114&lt;'General inputs'!$I$16,C115-1,C113+1))</f>
        <v>45</v>
      </c>
      <c r="D114" s="52" t="str">
        <f t="shared" si="3"/>
        <v>2070-71</v>
      </c>
      <c r="E114" s="100" t="str">
        <f>IF(LEFT(D114,4)*1&gt;LEFT('General inputs'!$I$16,4)+'General inputs'!$H$38-1,"",'ET inputs'!D87)</f>
        <v/>
      </c>
      <c r="F114" s="100" t="str">
        <f>IF(LEFT(D114,4)*1&gt;LEFT('General inputs'!$I$16,4)+'General inputs'!$H$38-1,"",E114/(1+'General inputs'!$H$30)^C114)</f>
        <v/>
      </c>
      <c r="G114" s="100" t="str">
        <f>IF(LEFT(D114,4)*1&gt;LEFT('General inputs'!$I$16,4)+'General inputs'!$H$38-1,"",E114/(1+'General inputs'!$H$32)^C114)</f>
        <v/>
      </c>
      <c r="H114" s="100" t="str">
        <f>IF(LEFT(D114,4)*1&lt;LEFT('General inputs'!$I$16,4)*1,"",IF(LEFT(D114,4)*1&gt;LEFT('General inputs'!$I$16,4)+'General inputs'!$H$38-1,"",E114/(1+'General inputs'!$H$34)^C114))</f>
        <v/>
      </c>
      <c r="J114" s="104"/>
      <c r="K114" s="104"/>
      <c r="L114" s="100" t="str">
        <f>IF(LEFT(D114,4)*1&gt;LEFT('General inputs'!$I$18,4)*1,"",SUMIF('Post-1996 commissioned assets'!$F$22:$F$540,$D114,'Post-1996 commissioned assets'!$P$22:$P$540))</f>
        <v/>
      </c>
      <c r="M114" s="100" t="str">
        <f>IF(L114="","",L114/(1+'General inputs'!$H$32)^C114)</f>
        <v/>
      </c>
      <c r="N114" s="100">
        <f>IF(LEFT(D114,4)*1&lt;LEFT('General inputs'!$I$18,4)*1+1,"",SUMIF('Uncommissioned assets'!$F$22:$F$55,$D114,'Uncommissioned assets'!$P$22:$P$55))</f>
        <v>0</v>
      </c>
      <c r="O114" s="100">
        <f>IF(N114="","",N114/(1+'General inputs'!$H$32)^C114)</f>
        <v>0</v>
      </c>
      <c r="Q114" s="102"/>
      <c r="R114" s="100" t="str">
        <f>IF(OR(LEFT(D114,4)*1&lt;LEFT('General inputs'!$I$16,4)*1,LEFT(D114,4)*1&gt;LEFT('General inputs'!$I$16,4)+'General inputs'!$H$38-1),"",Q114/(1+'General inputs'!$H$34)^C114)</f>
        <v/>
      </c>
      <c r="T114" s="109"/>
      <c r="U114" s="100" t="str">
        <f>IF(OR(LEFT(D114,4)*1&lt;LEFT('General inputs'!$I$16,4)*1,LEFT(D114,4)*1&gt;LEFT('General inputs'!$I$16,4)+'General inputs'!$H$38-1),"",T114/(1+'General inputs'!$H$34)^C114)</f>
        <v/>
      </c>
      <c r="V114" s="61"/>
    </row>
    <row r="115" spans="2:22" x14ac:dyDescent="0.2">
      <c r="B115" s="60"/>
      <c r="C115" s="52">
        <f>IF(D115='General inputs'!$I$16,0,IF(D115&lt;'General inputs'!$I$16,C116-1,C114+1))</f>
        <v>46</v>
      </c>
      <c r="D115" s="52" t="str">
        <f t="shared" si="3"/>
        <v>2071-72</v>
      </c>
      <c r="E115" s="100" t="str">
        <f>IF(LEFT(D115,4)*1&gt;LEFT('General inputs'!$I$16,4)+'General inputs'!$H$38-1,"",'ET inputs'!D88)</f>
        <v/>
      </c>
      <c r="F115" s="100" t="str">
        <f>IF(LEFT(D115,4)*1&gt;LEFT('General inputs'!$I$16,4)+'General inputs'!$H$38-1,"",E115/(1+'General inputs'!$H$30)^C115)</f>
        <v/>
      </c>
      <c r="G115" s="100" t="str">
        <f>IF(LEFT(D115,4)*1&gt;LEFT('General inputs'!$I$16,4)+'General inputs'!$H$38-1,"",E115/(1+'General inputs'!$H$32)^C115)</f>
        <v/>
      </c>
      <c r="H115" s="100" t="str">
        <f>IF(LEFT(D115,4)*1&lt;LEFT('General inputs'!$I$16,4)*1,"",IF(LEFT(D115,4)*1&gt;LEFT('General inputs'!$I$16,4)+'General inputs'!$H$38-1,"",E115/(1+'General inputs'!$H$34)^C115))</f>
        <v/>
      </c>
      <c r="J115" s="104"/>
      <c r="K115" s="104"/>
      <c r="L115" s="100" t="str">
        <f>IF(LEFT(D115,4)*1&gt;LEFT('General inputs'!$I$18,4)*1,"",SUMIF('Post-1996 commissioned assets'!$F$22:$F$540,$D115,'Post-1996 commissioned assets'!$P$22:$P$540))</f>
        <v/>
      </c>
      <c r="M115" s="100" t="str">
        <f>IF(L115="","",L115/(1+'General inputs'!$H$32)^C115)</f>
        <v/>
      </c>
      <c r="N115" s="100">
        <f>IF(LEFT(D115,4)*1&lt;LEFT('General inputs'!$I$18,4)*1+1,"",SUMIF('Uncommissioned assets'!$F$22:$F$55,$D115,'Uncommissioned assets'!$P$22:$P$55))</f>
        <v>0</v>
      </c>
      <c r="O115" s="100">
        <f>IF(N115="","",N115/(1+'General inputs'!$H$32)^C115)</f>
        <v>0</v>
      </c>
      <c r="Q115" s="102"/>
      <c r="R115" s="100" t="str">
        <f>IF(OR(LEFT(D115,4)*1&lt;LEFT('General inputs'!$I$16,4)*1,LEFT(D115,4)*1&gt;LEFT('General inputs'!$I$16,4)+'General inputs'!$H$38-1),"",Q115/(1+'General inputs'!$H$34)^C115)</f>
        <v/>
      </c>
      <c r="T115" s="109"/>
      <c r="U115" s="100" t="str">
        <f>IF(OR(LEFT(D115,4)*1&lt;LEFT('General inputs'!$I$16,4)*1,LEFT(D115,4)*1&gt;LEFT('General inputs'!$I$16,4)+'General inputs'!$H$38-1),"",T115/(1+'General inputs'!$H$34)^C115)</f>
        <v/>
      </c>
      <c r="V115" s="61"/>
    </row>
    <row r="116" spans="2:22" x14ac:dyDescent="0.2">
      <c r="B116" s="60"/>
      <c r="C116" s="52">
        <f>IF(D116='General inputs'!$I$16,0,IF(D116&lt;'General inputs'!$I$16,C117-1,C115+1))</f>
        <v>47</v>
      </c>
      <c r="D116" s="52" t="str">
        <f t="shared" si="3"/>
        <v>2072-73</v>
      </c>
      <c r="E116" s="100" t="str">
        <f>IF(LEFT(D116,4)*1&gt;LEFT('General inputs'!$I$16,4)+'General inputs'!$H$38-1,"",'ET inputs'!D89)</f>
        <v/>
      </c>
      <c r="F116" s="100" t="str">
        <f>IF(LEFT(D116,4)*1&gt;LEFT('General inputs'!$I$16,4)+'General inputs'!$H$38-1,"",E116/(1+'General inputs'!$H$30)^C116)</f>
        <v/>
      </c>
      <c r="G116" s="100" t="str">
        <f>IF(LEFT(D116,4)*1&gt;LEFT('General inputs'!$I$16,4)+'General inputs'!$H$38-1,"",E116/(1+'General inputs'!$H$32)^C116)</f>
        <v/>
      </c>
      <c r="H116" s="100" t="str">
        <f>IF(LEFT(D116,4)*1&lt;LEFT('General inputs'!$I$16,4)*1,"",IF(LEFT(D116,4)*1&gt;LEFT('General inputs'!$I$16,4)+'General inputs'!$H$38-1,"",E116/(1+'General inputs'!$H$34)^C116))</f>
        <v/>
      </c>
      <c r="J116" s="104"/>
      <c r="K116" s="104"/>
      <c r="L116" s="100" t="str">
        <f>IF(LEFT(D116,4)*1&gt;LEFT('General inputs'!$I$18,4)*1,"",SUMIF('Post-1996 commissioned assets'!$F$22:$F$540,$D116,'Post-1996 commissioned assets'!$P$22:$P$540))</f>
        <v/>
      </c>
      <c r="M116" s="100" t="str">
        <f>IF(L116="","",L116/(1+'General inputs'!$H$32)^C116)</f>
        <v/>
      </c>
      <c r="N116" s="100">
        <f>IF(LEFT(D116,4)*1&lt;LEFT('General inputs'!$I$18,4)*1+1,"",SUMIF('Uncommissioned assets'!$F$22:$F$55,$D116,'Uncommissioned assets'!$P$22:$P$55))</f>
        <v>0</v>
      </c>
      <c r="O116" s="100">
        <f>IF(N116="","",N116/(1+'General inputs'!$H$32)^C116)</f>
        <v>0</v>
      </c>
      <c r="Q116" s="102"/>
      <c r="R116" s="100" t="str">
        <f>IF(OR(LEFT(D116,4)*1&lt;LEFT('General inputs'!$I$16,4)*1,LEFT(D116,4)*1&gt;LEFT('General inputs'!$I$16,4)+'General inputs'!$H$38-1),"",Q116/(1+'General inputs'!$H$34)^C116)</f>
        <v/>
      </c>
      <c r="T116" s="109"/>
      <c r="U116" s="100" t="str">
        <f>IF(OR(LEFT(D116,4)*1&lt;LEFT('General inputs'!$I$16,4)*1,LEFT(D116,4)*1&gt;LEFT('General inputs'!$I$16,4)+'General inputs'!$H$38-1),"",T116/(1+'General inputs'!$H$34)^C116)</f>
        <v/>
      </c>
      <c r="V116" s="61"/>
    </row>
    <row r="117" spans="2:22" x14ac:dyDescent="0.2">
      <c r="B117" s="60"/>
      <c r="C117" s="52">
        <f>IF(D117='General inputs'!$I$16,0,IF(D117&lt;'General inputs'!$I$16,C118-1,C116+1))</f>
        <v>48</v>
      </c>
      <c r="D117" s="52" t="str">
        <f t="shared" si="3"/>
        <v>2073-74</v>
      </c>
      <c r="E117" s="100" t="str">
        <f>IF(LEFT(D117,4)*1&gt;LEFT('General inputs'!$I$16,4)+'General inputs'!$H$38-1,"",'ET inputs'!D90)</f>
        <v/>
      </c>
      <c r="F117" s="100" t="str">
        <f>IF(LEFT(D117,4)*1&gt;LEFT('General inputs'!$I$16,4)+'General inputs'!$H$38-1,"",E117/(1+'General inputs'!$H$30)^C117)</f>
        <v/>
      </c>
      <c r="G117" s="100" t="str">
        <f>IF(LEFT(D117,4)*1&gt;LEFT('General inputs'!$I$16,4)+'General inputs'!$H$38-1,"",E117/(1+'General inputs'!$H$32)^C117)</f>
        <v/>
      </c>
      <c r="H117" s="100" t="str">
        <f>IF(LEFT(D117,4)*1&lt;LEFT('General inputs'!$I$16,4)*1,"",IF(LEFT(D117,4)*1&gt;LEFT('General inputs'!$I$16,4)+'General inputs'!$H$38-1,"",E117/(1+'General inputs'!$H$34)^C117))</f>
        <v/>
      </c>
      <c r="J117" s="104"/>
      <c r="K117" s="104"/>
      <c r="L117" s="100" t="str">
        <f>IF(LEFT(D117,4)*1&gt;LEFT('General inputs'!$I$18,4)*1,"",SUMIF('Post-1996 commissioned assets'!$F$22:$F$540,$D117,'Post-1996 commissioned assets'!$P$22:$P$540))</f>
        <v/>
      </c>
      <c r="M117" s="100" t="str">
        <f>IF(L117="","",L117/(1+'General inputs'!$H$32)^C117)</f>
        <v/>
      </c>
      <c r="N117" s="100">
        <f>IF(LEFT(D117,4)*1&lt;LEFT('General inputs'!$I$18,4)*1+1,"",SUMIF('Uncommissioned assets'!$F$22:$F$55,$D117,'Uncommissioned assets'!$P$22:$P$55))</f>
        <v>0</v>
      </c>
      <c r="O117" s="100">
        <f>IF(N117="","",N117/(1+'General inputs'!$H$32)^C117)</f>
        <v>0</v>
      </c>
      <c r="Q117" s="102"/>
      <c r="R117" s="100" t="str">
        <f>IF(OR(LEFT(D117,4)*1&lt;LEFT('General inputs'!$I$16,4)*1,LEFT(D117,4)*1&gt;LEFT('General inputs'!$I$16,4)+'General inputs'!$H$38-1),"",Q117/(1+'General inputs'!$H$34)^C117)</f>
        <v/>
      </c>
      <c r="T117" s="109"/>
      <c r="U117" s="100" t="str">
        <f>IF(OR(LEFT(D117,4)*1&lt;LEFT('General inputs'!$I$16,4)*1,LEFT(D117,4)*1&gt;LEFT('General inputs'!$I$16,4)+'General inputs'!$H$38-1),"",T117/(1+'General inputs'!$H$34)^C117)</f>
        <v/>
      </c>
      <c r="V117" s="61"/>
    </row>
    <row r="118" spans="2:22" x14ac:dyDescent="0.2">
      <c r="B118" s="60"/>
      <c r="C118" s="52">
        <f>IF(D118='General inputs'!$I$16,0,IF(D118&lt;'General inputs'!$I$16,C119-1,C117+1))</f>
        <v>49</v>
      </c>
      <c r="D118" s="52" t="str">
        <f t="shared" si="3"/>
        <v>2074-75</v>
      </c>
      <c r="E118" s="100" t="str">
        <f>IF(LEFT(D118,4)*1&gt;LEFT('General inputs'!$I$16,4)+'General inputs'!$H$38-1,"",'ET inputs'!D91)</f>
        <v/>
      </c>
      <c r="F118" s="100" t="str">
        <f>IF(LEFT(D118,4)*1&gt;LEFT('General inputs'!$I$16,4)+'General inputs'!$H$38-1,"",E118/(1+'General inputs'!$H$30)^C118)</f>
        <v/>
      </c>
      <c r="G118" s="100" t="str">
        <f>IF(LEFT(D118,4)*1&gt;LEFT('General inputs'!$I$16,4)+'General inputs'!$H$38-1,"",E118/(1+'General inputs'!$H$32)^C118)</f>
        <v/>
      </c>
      <c r="H118" s="100" t="str">
        <f>IF(LEFT(D118,4)*1&lt;LEFT('General inputs'!$I$16,4)*1,"",IF(LEFT(D118,4)*1&gt;LEFT('General inputs'!$I$16,4)+'General inputs'!$H$38-1,"",E118/(1+'General inputs'!$H$34)^C118))</f>
        <v/>
      </c>
      <c r="J118" s="104"/>
      <c r="K118" s="104"/>
      <c r="L118" s="100" t="str">
        <f>IF(LEFT(D118,4)*1&gt;LEFT('General inputs'!$I$18,4)*1,"",SUMIF('Post-1996 commissioned assets'!$F$22:$F$540,$D118,'Post-1996 commissioned assets'!$P$22:$P$540))</f>
        <v/>
      </c>
      <c r="M118" s="100" t="str">
        <f>IF(L118="","",L118/(1+'General inputs'!$H$32)^C118)</f>
        <v/>
      </c>
      <c r="N118" s="100">
        <f>IF(LEFT(D118,4)*1&lt;LEFT('General inputs'!$I$18,4)*1+1,"",SUMIF('Uncommissioned assets'!$F$22:$F$55,$D118,'Uncommissioned assets'!$P$22:$P$55))</f>
        <v>0</v>
      </c>
      <c r="O118" s="100">
        <f>IF(N118="","",N118/(1+'General inputs'!$H$32)^C118)</f>
        <v>0</v>
      </c>
      <c r="Q118" s="102"/>
      <c r="R118" s="100" t="str">
        <f>IF(OR(LEFT(D118,4)*1&lt;LEFT('General inputs'!$I$16,4)*1,LEFT(D118,4)*1&gt;LEFT('General inputs'!$I$16,4)+'General inputs'!$H$38-1),"",Q118/(1+'General inputs'!$H$34)^C118)</f>
        <v/>
      </c>
      <c r="T118" s="109"/>
      <c r="U118" s="100" t="str">
        <f>IF(OR(LEFT(D118,4)*1&lt;LEFT('General inputs'!$I$16,4)*1,LEFT(D118,4)*1&gt;LEFT('General inputs'!$I$16,4)+'General inputs'!$H$38-1),"",T118/(1+'General inputs'!$H$34)^C118)</f>
        <v/>
      </c>
      <c r="V118" s="61"/>
    </row>
    <row r="119" spans="2:22" x14ac:dyDescent="0.2">
      <c r="B119" s="60"/>
      <c r="C119" s="52">
        <f>IF(D119='General inputs'!$I$16,0,IF(D119&lt;'General inputs'!$I$16,C120-1,C118+1))</f>
        <v>50</v>
      </c>
      <c r="D119" s="52" t="str">
        <f t="shared" si="3"/>
        <v>2075-76</v>
      </c>
      <c r="E119" s="100" t="str">
        <f>IF(LEFT(D119,4)*1&gt;LEFT('General inputs'!$I$16,4)+'General inputs'!$H$38-1,"",'ET inputs'!D92)</f>
        <v/>
      </c>
      <c r="F119" s="100" t="str">
        <f>IF(LEFT(D119,4)*1&gt;LEFT('General inputs'!$I$16,4)+'General inputs'!$H$38-1,"",E119/(1+'General inputs'!$H$30)^C119)</f>
        <v/>
      </c>
      <c r="G119" s="100" t="str">
        <f>IF(LEFT(D119,4)*1&gt;LEFT('General inputs'!$I$16,4)+'General inputs'!$H$38-1,"",E119/(1+'General inputs'!$H$32)^C119)</f>
        <v/>
      </c>
      <c r="H119" s="100" t="str">
        <f>IF(LEFT(D119,4)*1&lt;LEFT('General inputs'!$I$16,4)*1,"",IF(LEFT(D119,4)*1&gt;LEFT('General inputs'!$I$16,4)+'General inputs'!$H$38-1,"",E119/(1+'General inputs'!$H$34)^C119))</f>
        <v/>
      </c>
      <c r="J119" s="104"/>
      <c r="K119" s="104"/>
      <c r="L119" s="100" t="str">
        <f>IF(LEFT(D119,4)*1&gt;LEFT('General inputs'!$I$18,4)*1,"",SUMIF('Post-1996 commissioned assets'!$F$22:$F$540,$D119,'Post-1996 commissioned assets'!$P$22:$P$540))</f>
        <v/>
      </c>
      <c r="M119" s="100" t="str">
        <f>IF(L119="","",L119/(1+'General inputs'!$H$32)^C119)</f>
        <v/>
      </c>
      <c r="N119" s="100">
        <f>IF(LEFT(D119,4)*1&lt;LEFT('General inputs'!$I$18,4)*1+1,"",SUMIF('Uncommissioned assets'!$F$22:$F$55,$D119,'Uncommissioned assets'!$P$22:$P$55))</f>
        <v>0</v>
      </c>
      <c r="O119" s="100">
        <f>IF(N119="","",N119/(1+'General inputs'!$H$32)^C119)</f>
        <v>0</v>
      </c>
      <c r="Q119" s="102"/>
      <c r="R119" s="100" t="str">
        <f>IF(OR(LEFT(D119,4)*1&lt;LEFT('General inputs'!$I$16,4)*1,LEFT(D119,4)*1&gt;LEFT('General inputs'!$I$16,4)+'General inputs'!$H$38-1),"",Q119/(1+'General inputs'!$H$34)^C119)</f>
        <v/>
      </c>
      <c r="T119" s="109"/>
      <c r="U119" s="100" t="str">
        <f>IF(OR(LEFT(D119,4)*1&lt;LEFT('General inputs'!$I$16,4)*1,LEFT(D119,4)*1&gt;LEFT('General inputs'!$I$16,4)+'General inputs'!$H$38-1),"",T119/(1+'General inputs'!$H$34)^C119)</f>
        <v/>
      </c>
      <c r="V119" s="61"/>
    </row>
    <row r="120" spans="2:22" x14ac:dyDescent="0.2">
      <c r="B120" s="60"/>
      <c r="C120" s="52">
        <f>IF(D120='General inputs'!$I$16,0,IF(D120&lt;'General inputs'!$I$16,C121-1,C119+1))</f>
        <v>51</v>
      </c>
      <c r="D120" s="52" t="str">
        <f t="shared" si="3"/>
        <v>2076-77</v>
      </c>
      <c r="E120" s="100" t="str">
        <f>IF(LEFT(D120,4)*1&gt;LEFT('General inputs'!$I$16,4)+'General inputs'!$H$38-1,"",'ET inputs'!D93)</f>
        <v/>
      </c>
      <c r="F120" s="100" t="str">
        <f>IF(LEFT(D120,4)*1&gt;LEFT('General inputs'!$I$16,4)+'General inputs'!$H$38-1,"",E120/(1+'General inputs'!$H$30)^C120)</f>
        <v/>
      </c>
      <c r="G120" s="100" t="str">
        <f>IF(LEFT(D120,4)*1&gt;LEFT('General inputs'!$I$16,4)+'General inputs'!$H$38-1,"",E120/(1+'General inputs'!$H$32)^C120)</f>
        <v/>
      </c>
      <c r="H120" s="100" t="str">
        <f>IF(LEFT(D120,4)*1&lt;LEFT('General inputs'!$I$16,4)*1,"",IF(LEFT(D120,4)*1&gt;LEFT('General inputs'!$I$16,4)+'General inputs'!$H$38-1,"",E120/(1+'General inputs'!$H$34)^C120))</f>
        <v/>
      </c>
      <c r="J120" s="104"/>
      <c r="K120" s="104"/>
      <c r="L120" s="100" t="str">
        <f>IF(LEFT(D120,4)*1&gt;LEFT('General inputs'!$I$18,4)*1,"",SUMIF('Post-1996 commissioned assets'!$F$22:$F$540,$D120,'Post-1996 commissioned assets'!$P$22:$P$540))</f>
        <v/>
      </c>
      <c r="M120" s="100" t="str">
        <f>IF(L120="","",L120/(1+'General inputs'!$H$32)^C120)</f>
        <v/>
      </c>
      <c r="N120" s="100">
        <f>IF(LEFT(D120,4)*1&lt;LEFT('General inputs'!$I$18,4)*1+1,"",SUMIF('Uncommissioned assets'!$F$22:$F$55,$D120,'Uncommissioned assets'!$P$22:$P$55))</f>
        <v>0</v>
      </c>
      <c r="O120" s="100">
        <f>IF(N120="","",N120/(1+'General inputs'!$H$32)^C120)</f>
        <v>0</v>
      </c>
      <c r="Q120" s="102"/>
      <c r="R120" s="100" t="str">
        <f>IF(OR(LEFT(D120,4)*1&lt;LEFT('General inputs'!$I$16,4)*1,LEFT(D120,4)*1&gt;LEFT('General inputs'!$I$16,4)+'General inputs'!$H$38-1),"",Q120/(1+'General inputs'!$H$34)^C120)</f>
        <v/>
      </c>
      <c r="T120" s="109"/>
      <c r="U120" s="100" t="str">
        <f>IF(OR(LEFT(D120,4)*1&lt;LEFT('General inputs'!$I$16,4)*1,LEFT(D120,4)*1&gt;LEFT('General inputs'!$I$16,4)+'General inputs'!$H$38-1),"",T120/(1+'General inputs'!$H$34)^C120)</f>
        <v/>
      </c>
      <c r="V120" s="61"/>
    </row>
    <row r="121" spans="2:22" x14ac:dyDescent="0.2">
      <c r="B121" s="60"/>
      <c r="C121" s="52">
        <f>IF(D121='General inputs'!$I$16,0,IF(D121&lt;'General inputs'!$I$16,C122-1,C120+1))</f>
        <v>52</v>
      </c>
      <c r="D121" s="52" t="str">
        <f t="shared" si="3"/>
        <v>2077-78</v>
      </c>
      <c r="E121" s="100" t="str">
        <f>IF(LEFT(D121,4)*1&gt;LEFT('General inputs'!$I$16,4)+'General inputs'!$H$38-1,"",'ET inputs'!D94)</f>
        <v/>
      </c>
      <c r="F121" s="100" t="str">
        <f>IF(LEFT(D121,4)*1&gt;LEFT('General inputs'!$I$16,4)+'General inputs'!$H$38-1,"",E121/(1+'General inputs'!$H$30)^C121)</f>
        <v/>
      </c>
      <c r="G121" s="100" t="str">
        <f>IF(LEFT(D121,4)*1&gt;LEFT('General inputs'!$I$16,4)+'General inputs'!$H$38-1,"",E121/(1+'General inputs'!$H$32)^C121)</f>
        <v/>
      </c>
      <c r="H121" s="100" t="str">
        <f>IF(LEFT(D121,4)*1&lt;LEFT('General inputs'!$I$16,4)*1,"",IF(LEFT(D121,4)*1&gt;LEFT('General inputs'!$I$16,4)+'General inputs'!$H$38-1,"",E121/(1+'General inputs'!$H$34)^C121))</f>
        <v/>
      </c>
      <c r="J121" s="104"/>
      <c r="K121" s="104"/>
      <c r="L121" s="100" t="str">
        <f>IF(LEFT(D121,4)*1&gt;LEFT('General inputs'!$I$18,4)*1,"",SUMIF('Post-1996 commissioned assets'!$F$22:$F$540,$D121,'Post-1996 commissioned assets'!$P$22:$P$540))</f>
        <v/>
      </c>
      <c r="M121" s="100" t="str">
        <f>IF(L121="","",L121/(1+'General inputs'!$H$32)^C121)</f>
        <v/>
      </c>
      <c r="N121" s="100">
        <f>IF(LEFT(D121,4)*1&lt;LEFT('General inputs'!$I$18,4)*1+1,"",SUMIF('Uncommissioned assets'!$F$22:$F$55,$D121,'Uncommissioned assets'!$P$22:$P$55))</f>
        <v>0</v>
      </c>
      <c r="O121" s="100">
        <f>IF(N121="","",N121/(1+'General inputs'!$H$32)^C121)</f>
        <v>0</v>
      </c>
      <c r="Q121" s="102"/>
      <c r="R121" s="100" t="str">
        <f>IF(OR(LEFT(D121,4)*1&lt;LEFT('General inputs'!$I$16,4)*1,LEFT(D121,4)*1&gt;LEFT('General inputs'!$I$16,4)+'General inputs'!$H$38-1),"",Q121/(1+'General inputs'!$H$34)^C121)</f>
        <v/>
      </c>
      <c r="T121" s="109"/>
      <c r="U121" s="100" t="str">
        <f>IF(OR(LEFT(D121,4)*1&lt;LEFT('General inputs'!$I$16,4)*1,LEFT(D121,4)*1&gt;LEFT('General inputs'!$I$16,4)+'General inputs'!$H$38-1),"",T121/(1+'General inputs'!$H$34)^C121)</f>
        <v/>
      </c>
      <c r="V121" s="61"/>
    </row>
    <row r="122" spans="2:22" x14ac:dyDescent="0.2">
      <c r="B122" s="60"/>
      <c r="C122" s="52">
        <f>IF(D122='General inputs'!$I$16,0,IF(D122&lt;'General inputs'!$I$16,C123-1,C121+1))</f>
        <v>53</v>
      </c>
      <c r="D122" s="52" t="str">
        <f t="shared" si="3"/>
        <v>2078-79</v>
      </c>
      <c r="E122" s="100" t="str">
        <f>IF(LEFT(D122,4)*1&gt;LEFT('General inputs'!$I$16,4)+'General inputs'!$H$38-1,"",'ET inputs'!D95)</f>
        <v/>
      </c>
      <c r="F122" s="100" t="str">
        <f>IF(LEFT(D122,4)*1&gt;LEFT('General inputs'!$I$16,4)+'General inputs'!$H$38-1,"",E122/(1+'General inputs'!$H$30)^C122)</f>
        <v/>
      </c>
      <c r="G122" s="100" t="str">
        <f>IF(LEFT(D122,4)*1&gt;LEFT('General inputs'!$I$16,4)+'General inputs'!$H$38-1,"",E122/(1+'General inputs'!$H$32)^C122)</f>
        <v/>
      </c>
      <c r="H122" s="100" t="str">
        <f>IF(LEFT(D122,4)*1&lt;LEFT('General inputs'!$I$16,4)*1,"",IF(LEFT(D122,4)*1&gt;LEFT('General inputs'!$I$16,4)+'General inputs'!$H$38-1,"",E122/(1+'General inputs'!$H$34)^C122))</f>
        <v/>
      </c>
      <c r="J122" s="104"/>
      <c r="K122" s="104"/>
      <c r="L122" s="100" t="str">
        <f>IF(LEFT(D122,4)*1&gt;LEFT('General inputs'!$I$18,4)*1,"",SUMIF('Post-1996 commissioned assets'!$F$22:$F$540,$D122,'Post-1996 commissioned assets'!$P$22:$P$540))</f>
        <v/>
      </c>
      <c r="M122" s="100" t="str">
        <f>IF(L122="","",L122/(1+'General inputs'!$H$32)^C122)</f>
        <v/>
      </c>
      <c r="N122" s="100">
        <f>IF(LEFT(D122,4)*1&lt;LEFT('General inputs'!$I$18,4)*1+1,"",SUMIF('Uncommissioned assets'!$F$22:$F$55,$D122,'Uncommissioned assets'!$P$22:$P$55))</f>
        <v>0</v>
      </c>
      <c r="O122" s="100">
        <f>IF(N122="","",N122/(1+'General inputs'!$H$32)^C122)</f>
        <v>0</v>
      </c>
      <c r="Q122" s="102"/>
      <c r="R122" s="100" t="str">
        <f>IF(OR(LEFT(D122,4)*1&lt;LEFT('General inputs'!$I$16,4)*1,LEFT(D122,4)*1&gt;LEFT('General inputs'!$I$16,4)+'General inputs'!$H$38-1),"",Q122/(1+'General inputs'!$H$34)^C122)</f>
        <v/>
      </c>
      <c r="T122" s="109"/>
      <c r="U122" s="100" t="str">
        <f>IF(OR(LEFT(D122,4)*1&lt;LEFT('General inputs'!$I$16,4)*1,LEFT(D122,4)*1&gt;LEFT('General inputs'!$I$16,4)+'General inputs'!$H$38-1),"",T122/(1+'General inputs'!$H$34)^C122)</f>
        <v/>
      </c>
      <c r="V122" s="61"/>
    </row>
    <row r="123" spans="2:22" x14ac:dyDescent="0.2">
      <c r="B123" s="60"/>
      <c r="C123" s="52">
        <f>IF(D123='General inputs'!$I$16,0,IF(D123&lt;'General inputs'!$I$16,C124-1,C122+1))</f>
        <v>54</v>
      </c>
      <c r="D123" s="52" t="str">
        <f t="shared" ref="D123:D129" si="4">LEFT(D122,4)+1&amp;"-"&amp;RIGHT(D122,2)+1</f>
        <v>2079-80</v>
      </c>
      <c r="E123" s="100" t="str">
        <f>IF(LEFT(D123,4)*1&gt;LEFT('General inputs'!$I$16,4)+'General inputs'!$H$38-1,"",'ET inputs'!D96)</f>
        <v/>
      </c>
      <c r="F123" s="100" t="str">
        <f>IF(LEFT(D123,4)*1&gt;LEFT('General inputs'!$I$16,4)+'General inputs'!$H$38-1,"",E123/(1+'General inputs'!$H$30)^C123)</f>
        <v/>
      </c>
      <c r="G123" s="100" t="str">
        <f>IF(LEFT(D123,4)*1&gt;LEFT('General inputs'!$I$16,4)+'General inputs'!$H$38-1,"",E123/(1+'General inputs'!$H$32)^C123)</f>
        <v/>
      </c>
      <c r="H123" s="100" t="str">
        <f>IF(LEFT(D123,4)*1&lt;LEFT('General inputs'!$I$16,4)*1,"",IF(LEFT(D123,4)*1&gt;LEFT('General inputs'!$I$16,4)+'General inputs'!$H$38-1,"",E123/(1+'General inputs'!$H$34)^C123))</f>
        <v/>
      </c>
      <c r="J123" s="104"/>
      <c r="K123" s="104"/>
      <c r="L123" s="100" t="str">
        <f>IF(LEFT(D123,4)*1&gt;LEFT('General inputs'!$I$18,4)*1,"",SUMIF('Post-1996 commissioned assets'!$F$22:$F$540,$D123,'Post-1996 commissioned assets'!$P$22:$P$540))</f>
        <v/>
      </c>
      <c r="M123" s="100" t="str">
        <f>IF(L123="","",L123/(1+'General inputs'!$H$32)^C123)</f>
        <v/>
      </c>
      <c r="N123" s="100">
        <f>IF(LEFT(D123,4)*1&lt;LEFT('General inputs'!$I$18,4)*1+1,"",SUMIF('Uncommissioned assets'!$F$22:$F$55,$D123,'Uncommissioned assets'!$P$22:$P$55))</f>
        <v>0</v>
      </c>
      <c r="O123" s="100">
        <f>IF(N123="","",N123/(1+'General inputs'!$H$32)^C123)</f>
        <v>0</v>
      </c>
      <c r="Q123" s="102"/>
      <c r="R123" s="100" t="str">
        <f>IF(OR(LEFT(D123,4)*1&lt;LEFT('General inputs'!$I$16,4)*1,LEFT(D123,4)*1&gt;LEFT('General inputs'!$I$16,4)+'General inputs'!$H$38-1),"",Q123/(1+'General inputs'!$H$34)^C123)</f>
        <v/>
      </c>
      <c r="T123" s="109"/>
      <c r="U123" s="100" t="str">
        <f>IF(OR(LEFT(D123,4)*1&lt;LEFT('General inputs'!$I$16,4)*1,LEFT(D123,4)*1&gt;LEFT('General inputs'!$I$16,4)+'General inputs'!$H$38-1),"",T123/(1+'General inputs'!$H$34)^C123)</f>
        <v/>
      </c>
      <c r="V123" s="61"/>
    </row>
    <row r="124" spans="2:22" x14ac:dyDescent="0.2">
      <c r="B124" s="60"/>
      <c r="C124" s="52">
        <f>IF(D124='General inputs'!$I$16,0,IF(D124&lt;'General inputs'!$I$16,C125-1,C123+1))</f>
        <v>55</v>
      </c>
      <c r="D124" s="52" t="str">
        <f t="shared" si="4"/>
        <v>2080-81</v>
      </c>
      <c r="E124" s="100" t="str">
        <f>IF(LEFT(D124,4)*1&gt;LEFT('General inputs'!$I$16,4)+'General inputs'!$H$38-1,"",'ET inputs'!D97)</f>
        <v/>
      </c>
      <c r="F124" s="100" t="str">
        <f>IF(LEFT(D124,4)*1&gt;LEFT('General inputs'!$I$16,4)+'General inputs'!$H$38-1,"",E124/(1+'General inputs'!$H$30)^C124)</f>
        <v/>
      </c>
      <c r="G124" s="100" t="str">
        <f>IF(LEFT(D124,4)*1&gt;LEFT('General inputs'!$I$16,4)+'General inputs'!$H$38-1,"",E124/(1+'General inputs'!$H$32)^C124)</f>
        <v/>
      </c>
      <c r="H124" s="100" t="str">
        <f>IF(LEFT(D124,4)*1&lt;LEFT('General inputs'!$I$16,4)*1,"",IF(LEFT(D124,4)*1&gt;LEFT('General inputs'!$I$16,4)+'General inputs'!$H$38-1,"",E124/(1+'General inputs'!$H$34)^C124))</f>
        <v/>
      </c>
      <c r="J124" s="104"/>
      <c r="K124" s="104"/>
      <c r="L124" s="100" t="str">
        <f>IF(LEFT(D124,4)*1&gt;LEFT('General inputs'!$I$18,4)*1,"",SUMIF('Post-1996 commissioned assets'!$F$22:$F$540,$D124,'Post-1996 commissioned assets'!$P$22:$P$540))</f>
        <v/>
      </c>
      <c r="M124" s="100" t="str">
        <f>IF(L124="","",L124/(1+'General inputs'!$H$32)^C124)</f>
        <v/>
      </c>
      <c r="N124" s="100">
        <f>IF(LEFT(D124,4)*1&lt;LEFT('General inputs'!$I$18,4)*1+1,"",SUMIF('Uncommissioned assets'!$F$22:$F$55,$D124,'Uncommissioned assets'!$P$22:$P$55))</f>
        <v>0</v>
      </c>
      <c r="O124" s="100">
        <f>IF(N124="","",N124/(1+'General inputs'!$H$32)^C124)</f>
        <v>0</v>
      </c>
      <c r="Q124" s="102"/>
      <c r="R124" s="100" t="str">
        <f>IF(OR(LEFT(D124,4)*1&lt;LEFT('General inputs'!$I$16,4)*1,LEFT(D124,4)*1&gt;LEFT('General inputs'!$I$16,4)+'General inputs'!$H$38-1),"",Q124/(1+'General inputs'!$H$34)^C124)</f>
        <v/>
      </c>
      <c r="T124" s="109"/>
      <c r="U124" s="100" t="str">
        <f>IF(OR(LEFT(D124,4)*1&lt;LEFT('General inputs'!$I$16,4)*1,LEFT(D124,4)*1&gt;LEFT('General inputs'!$I$16,4)+'General inputs'!$H$38-1),"",T124/(1+'General inputs'!$H$34)^C124)</f>
        <v/>
      </c>
      <c r="V124" s="61"/>
    </row>
    <row r="125" spans="2:22" x14ac:dyDescent="0.2">
      <c r="B125" s="60"/>
      <c r="C125" s="52">
        <f>IF(D125='General inputs'!$I$16,0,IF(D125&lt;'General inputs'!$I$16,C126-1,C124+1))</f>
        <v>56</v>
      </c>
      <c r="D125" s="52" t="str">
        <f t="shared" si="4"/>
        <v>2081-82</v>
      </c>
      <c r="E125" s="100" t="str">
        <f>IF(LEFT(D125,4)*1&gt;LEFT('General inputs'!$I$16,4)+'General inputs'!$H$38-1,"",'ET inputs'!D98)</f>
        <v/>
      </c>
      <c r="F125" s="100" t="str">
        <f>IF(LEFT(D125,4)*1&gt;LEFT('General inputs'!$I$16,4)+'General inputs'!$H$38-1,"",E125/(1+'General inputs'!$H$30)^C125)</f>
        <v/>
      </c>
      <c r="G125" s="100" t="str">
        <f>IF(LEFT(D125,4)*1&gt;LEFT('General inputs'!$I$16,4)+'General inputs'!$H$38-1,"",E125/(1+'General inputs'!$H$32)^C125)</f>
        <v/>
      </c>
      <c r="H125" s="100" t="str">
        <f>IF(LEFT(D125,4)*1&lt;LEFT('General inputs'!$I$16,4)*1,"",IF(LEFT(D125,4)*1&gt;LEFT('General inputs'!$I$16,4)+'General inputs'!$H$38-1,"",E125/(1+'General inputs'!$H$34)^C125))</f>
        <v/>
      </c>
      <c r="J125" s="104"/>
      <c r="K125" s="104"/>
      <c r="L125" s="100" t="str">
        <f>IF(LEFT(D125,4)*1&gt;LEFT('General inputs'!$I$18,4)*1,"",SUMIF('Post-1996 commissioned assets'!$F$22:$F$540,$D125,'Post-1996 commissioned assets'!$P$22:$P$540))</f>
        <v/>
      </c>
      <c r="M125" s="100" t="str">
        <f>IF(L125="","",L125/(1+'General inputs'!$H$32)^C125)</f>
        <v/>
      </c>
      <c r="N125" s="100">
        <f>IF(LEFT(D125,4)*1&lt;LEFT('General inputs'!$I$18,4)*1+1,"",SUMIF('Uncommissioned assets'!$F$22:$F$55,$D125,'Uncommissioned assets'!$P$22:$P$55))</f>
        <v>0</v>
      </c>
      <c r="O125" s="100">
        <f>IF(N125="","",N125/(1+'General inputs'!$H$32)^C125)</f>
        <v>0</v>
      </c>
      <c r="Q125" s="102"/>
      <c r="R125" s="100" t="str">
        <f>IF(OR(LEFT(D125,4)*1&lt;LEFT('General inputs'!$I$16,4)*1,LEFT(D125,4)*1&gt;LEFT('General inputs'!$I$16,4)+'General inputs'!$H$38-1),"",Q125/(1+'General inputs'!$H$34)^C125)</f>
        <v/>
      </c>
      <c r="T125" s="109"/>
      <c r="U125" s="100" t="str">
        <f>IF(OR(LEFT(D125,4)*1&lt;LEFT('General inputs'!$I$16,4)*1,LEFT(D125,4)*1&gt;LEFT('General inputs'!$I$16,4)+'General inputs'!$H$38-1),"",T125/(1+'General inputs'!$H$34)^C125)</f>
        <v/>
      </c>
      <c r="V125" s="61"/>
    </row>
    <row r="126" spans="2:22" x14ac:dyDescent="0.2">
      <c r="B126" s="60"/>
      <c r="C126" s="52">
        <f>IF(D126='General inputs'!$I$16,0,IF(D126&lt;'General inputs'!$I$16,C127-1,C125+1))</f>
        <v>57</v>
      </c>
      <c r="D126" s="52" t="str">
        <f t="shared" si="4"/>
        <v>2082-83</v>
      </c>
      <c r="E126" s="100" t="str">
        <f>IF(LEFT(D126,4)*1&gt;LEFT('General inputs'!$I$16,4)+'General inputs'!$H$38-1,"",'ET inputs'!D99)</f>
        <v/>
      </c>
      <c r="F126" s="100" t="str">
        <f>IF(LEFT(D126,4)*1&gt;LEFT('General inputs'!$I$16,4)+'General inputs'!$H$38-1,"",E126/(1+'General inputs'!$H$30)^C126)</f>
        <v/>
      </c>
      <c r="G126" s="100" t="str">
        <f>IF(LEFT(D126,4)*1&gt;LEFT('General inputs'!$I$16,4)+'General inputs'!$H$38-1,"",E126/(1+'General inputs'!$H$32)^C126)</f>
        <v/>
      </c>
      <c r="H126" s="100" t="str">
        <f>IF(LEFT(D126,4)*1&lt;LEFT('General inputs'!$I$16,4)*1,"",IF(LEFT(D126,4)*1&gt;LEFT('General inputs'!$I$16,4)+'General inputs'!$H$38-1,"",E126/(1+'General inputs'!$H$34)^C126))</f>
        <v/>
      </c>
      <c r="J126" s="104"/>
      <c r="K126" s="104"/>
      <c r="L126" s="100" t="str">
        <f>IF(LEFT(D126,4)*1&gt;LEFT('General inputs'!$I$18,4)*1,"",SUMIF('Post-1996 commissioned assets'!$F$22:$F$540,$D126,'Post-1996 commissioned assets'!$P$22:$P$540))</f>
        <v/>
      </c>
      <c r="M126" s="100" t="str">
        <f>IF(L126="","",L126/(1+'General inputs'!$H$32)^C126)</f>
        <v/>
      </c>
      <c r="N126" s="100">
        <f>IF(LEFT(D126,4)*1&lt;LEFT('General inputs'!$I$18,4)*1+1,"",SUMIF('Uncommissioned assets'!$F$22:$F$55,$D126,'Uncommissioned assets'!$P$22:$P$55))</f>
        <v>0</v>
      </c>
      <c r="O126" s="100">
        <f>IF(N126="","",N126/(1+'General inputs'!$H$32)^C126)</f>
        <v>0</v>
      </c>
      <c r="Q126" s="102"/>
      <c r="R126" s="100" t="str">
        <f>IF(OR(LEFT(D126,4)*1&lt;LEFT('General inputs'!$I$16,4)*1,LEFT(D126,4)*1&gt;LEFT('General inputs'!$I$16,4)+'General inputs'!$H$38-1),"",Q126/(1+'General inputs'!$H$34)^C126)</f>
        <v/>
      </c>
      <c r="T126" s="109"/>
      <c r="U126" s="100" t="str">
        <f>IF(OR(LEFT(D126,4)*1&lt;LEFT('General inputs'!$I$16,4)*1,LEFT(D126,4)*1&gt;LEFT('General inputs'!$I$16,4)+'General inputs'!$H$38-1),"",T126/(1+'General inputs'!$H$34)^C126)</f>
        <v/>
      </c>
      <c r="V126" s="61"/>
    </row>
    <row r="127" spans="2:22" x14ac:dyDescent="0.2">
      <c r="B127" s="60"/>
      <c r="C127" s="52">
        <f>IF(D127='General inputs'!$I$16,0,IF(D127&lt;'General inputs'!$I$16,C128-1,C126+1))</f>
        <v>58</v>
      </c>
      <c r="D127" s="52" t="str">
        <f t="shared" si="4"/>
        <v>2083-84</v>
      </c>
      <c r="E127" s="100" t="str">
        <f>IF(LEFT(D127,4)*1&gt;LEFT('General inputs'!$I$16,4)+'General inputs'!$H$38-1,"",'ET inputs'!D100)</f>
        <v/>
      </c>
      <c r="F127" s="100" t="str">
        <f>IF(LEFT(D127,4)*1&gt;LEFT('General inputs'!$I$16,4)+'General inputs'!$H$38-1,"",E127/(1+'General inputs'!$H$30)^C127)</f>
        <v/>
      </c>
      <c r="G127" s="100" t="str">
        <f>IF(LEFT(D127,4)*1&gt;LEFT('General inputs'!$I$16,4)+'General inputs'!$H$38-1,"",E127/(1+'General inputs'!$H$32)^C127)</f>
        <v/>
      </c>
      <c r="H127" s="100" t="str">
        <f>IF(LEFT(D127,4)*1&lt;LEFT('General inputs'!$I$16,4)*1,"",IF(LEFT(D127,4)*1&gt;LEFT('General inputs'!$I$16,4)+'General inputs'!$H$38-1,"",E127/(1+'General inputs'!$H$34)^C127))</f>
        <v/>
      </c>
      <c r="J127" s="104"/>
      <c r="K127" s="104"/>
      <c r="L127" s="100" t="str">
        <f>IF(LEFT(D127,4)*1&gt;LEFT('General inputs'!$I$18,4)*1,"",SUMIF('Post-1996 commissioned assets'!$F$22:$F$540,$D127,'Post-1996 commissioned assets'!$P$22:$P$540))</f>
        <v/>
      </c>
      <c r="M127" s="100" t="str">
        <f>IF(L127="","",L127/(1+'General inputs'!$H$32)^C127)</f>
        <v/>
      </c>
      <c r="N127" s="100">
        <f>IF(LEFT(D127,4)*1&lt;LEFT('General inputs'!$I$18,4)*1+1,"",SUMIF('Uncommissioned assets'!$F$22:$F$55,$D127,'Uncommissioned assets'!$P$22:$P$55))</f>
        <v>0</v>
      </c>
      <c r="O127" s="100">
        <f>IF(N127="","",N127/(1+'General inputs'!$H$32)^C127)</f>
        <v>0</v>
      </c>
      <c r="Q127" s="102"/>
      <c r="R127" s="100" t="str">
        <f>IF(OR(LEFT(D127,4)*1&lt;LEFT('General inputs'!$I$16,4)*1,LEFT(D127,4)*1&gt;LEFT('General inputs'!$I$16,4)+'General inputs'!$H$38-1),"",Q127/(1+'General inputs'!$H$34)^C127)</f>
        <v/>
      </c>
      <c r="T127" s="109"/>
      <c r="U127" s="100" t="str">
        <f>IF(OR(LEFT(D127,4)*1&lt;LEFT('General inputs'!$I$16,4)*1,LEFT(D127,4)*1&gt;LEFT('General inputs'!$I$16,4)+'General inputs'!$H$38-1),"",T127/(1+'General inputs'!$H$34)^C127)</f>
        <v/>
      </c>
      <c r="V127" s="61"/>
    </row>
    <row r="128" spans="2:22" x14ac:dyDescent="0.2">
      <c r="B128" s="60"/>
      <c r="C128" s="52">
        <f>IF(D128='General inputs'!$I$16,0,IF(D128&lt;'General inputs'!$I$16,C129-1,C127+1))</f>
        <v>59</v>
      </c>
      <c r="D128" s="52" t="str">
        <f t="shared" si="4"/>
        <v>2084-85</v>
      </c>
      <c r="E128" s="100" t="str">
        <f>IF(LEFT(D128,4)*1&gt;LEFT('General inputs'!$I$16,4)+'General inputs'!$H$38-1,"",'ET inputs'!D101)</f>
        <v/>
      </c>
      <c r="F128" s="100" t="str">
        <f>IF(LEFT(D128,4)*1&gt;LEFT('General inputs'!$I$16,4)+'General inputs'!$H$38-1,"",E128/(1+'General inputs'!$H$30)^C128)</f>
        <v/>
      </c>
      <c r="G128" s="100" t="str">
        <f>IF(LEFT(D128,4)*1&gt;LEFT('General inputs'!$I$16,4)+'General inputs'!$H$38-1,"",E128/(1+'General inputs'!$H$32)^C128)</f>
        <v/>
      </c>
      <c r="H128" s="100" t="str">
        <f>IF(LEFT(D128,4)*1&lt;LEFT('General inputs'!$I$16,4)*1,"",IF(LEFT(D128,4)*1&gt;LEFT('General inputs'!$I$16,4)+'General inputs'!$H$38-1,"",E128/(1+'General inputs'!$H$34)^C128))</f>
        <v/>
      </c>
      <c r="J128" s="104"/>
      <c r="K128" s="104"/>
      <c r="L128" s="100" t="str">
        <f>IF(LEFT(D128,4)*1&gt;LEFT('General inputs'!$I$18,4)*1,"",SUMIF('Post-1996 commissioned assets'!$F$22:$F$540,$D128,'Post-1996 commissioned assets'!$P$22:$P$540))</f>
        <v/>
      </c>
      <c r="M128" s="100" t="str">
        <f>IF(L128="","",L128/(1+'General inputs'!$H$32)^C128)</f>
        <v/>
      </c>
      <c r="N128" s="100">
        <f>IF(LEFT(D128,4)*1&lt;LEFT('General inputs'!$I$18,4)*1+1,"",SUMIF('Uncommissioned assets'!$F$22:$F$55,$D128,'Uncommissioned assets'!$P$22:$P$55))</f>
        <v>0</v>
      </c>
      <c r="O128" s="100">
        <f>IF(N128="","",N128/(1+'General inputs'!$H$32)^C128)</f>
        <v>0</v>
      </c>
      <c r="Q128" s="102"/>
      <c r="R128" s="100" t="str">
        <f>IF(OR(LEFT(D128,4)*1&lt;LEFT('General inputs'!$I$16,4)*1,LEFT(D128,4)*1&gt;LEFT('General inputs'!$I$16,4)+'General inputs'!$H$38-1),"",Q128/(1+'General inputs'!$H$34)^C128)</f>
        <v/>
      </c>
      <c r="T128" s="109"/>
      <c r="U128" s="100" t="str">
        <f>IF(OR(LEFT(D128,4)*1&lt;LEFT('General inputs'!$I$16,4)*1,LEFT(D128,4)*1&gt;LEFT('General inputs'!$I$16,4)+'General inputs'!$H$38-1),"",T128/(1+'General inputs'!$H$34)^C128)</f>
        <v/>
      </c>
      <c r="V128" s="61"/>
    </row>
    <row r="129" spans="2:22" x14ac:dyDescent="0.2">
      <c r="B129" s="60"/>
      <c r="C129" s="52">
        <f>IF(D129='General inputs'!$I$16,0,IF(D129&lt;'General inputs'!$I$16,C130-1,C128+1))</f>
        <v>60</v>
      </c>
      <c r="D129" s="52" t="str">
        <f t="shared" si="4"/>
        <v>2085-86</v>
      </c>
      <c r="E129" s="100" t="str">
        <f>IF(LEFT(D129,4)*1&gt;LEFT('General inputs'!$I$16,4)+'General inputs'!$H$38-1,"",'ET inputs'!D102)</f>
        <v/>
      </c>
      <c r="F129" s="100" t="str">
        <f>IF(LEFT(D129,4)*1&gt;LEFT('General inputs'!$I$16,4)+'General inputs'!$H$38-1,"",E129/(1+'General inputs'!$H$30)^C129)</f>
        <v/>
      </c>
      <c r="G129" s="100" t="str">
        <f>IF(LEFT(D129,4)*1&gt;LEFT('General inputs'!$I$16,4)+'General inputs'!$H$38-1,"",E129/(1+'General inputs'!$H$32)^C129)</f>
        <v/>
      </c>
      <c r="H129" s="100" t="str">
        <f>IF(LEFT(D129,4)*1&lt;LEFT('General inputs'!$I$16,4)*1,"",IF(LEFT(D129,4)*1&gt;LEFT('General inputs'!$I$16,4)+'General inputs'!$H$38-1,"",E129/(1+'General inputs'!$H$34)^C129))</f>
        <v/>
      </c>
      <c r="J129" s="104"/>
      <c r="K129" s="104"/>
      <c r="L129" s="100" t="str">
        <f>IF(LEFT(D129,4)*1&gt;LEFT('General inputs'!$I$18,4)*1,"",SUMIF('Post-1996 commissioned assets'!$F$22:$F$540,$D129,'Post-1996 commissioned assets'!$P$22:$P$540))</f>
        <v/>
      </c>
      <c r="M129" s="100" t="str">
        <f>IF(L129="","",L129/(1+'General inputs'!$H$32)^C129)</f>
        <v/>
      </c>
      <c r="N129" s="100">
        <f>IF(LEFT(D129,4)*1&lt;LEFT('General inputs'!$I$18,4)*1+1,"",SUMIF('Uncommissioned assets'!$F$22:$F$55,$D129,'Uncommissioned assets'!$P$22:$P$55))</f>
        <v>0</v>
      </c>
      <c r="O129" s="100">
        <f>IF(N129="","",N129/(1+'General inputs'!$H$32)^C129)</f>
        <v>0</v>
      </c>
      <c r="Q129" s="102"/>
      <c r="R129" s="100" t="str">
        <f>IF(OR(LEFT(D129,4)*1&lt;LEFT('General inputs'!$I$16,4)*1,LEFT(D129,4)*1&gt;LEFT('General inputs'!$I$16,4)+'General inputs'!$H$38-1),"",Q129/(1+'General inputs'!$H$34)^C129)</f>
        <v/>
      </c>
      <c r="T129" s="109"/>
      <c r="U129" s="100" t="str">
        <f>IF(OR(LEFT(D129,4)*1&lt;LEFT('General inputs'!$I$16,4)*1,LEFT(D129,4)*1&gt;LEFT('General inputs'!$I$16,4)+'General inputs'!$H$38-1),"",T129/(1+'General inputs'!$H$34)^C129)</f>
        <v/>
      </c>
      <c r="V129" s="61"/>
    </row>
    <row r="130" spans="2:22" x14ac:dyDescent="0.2">
      <c r="B130" s="63"/>
      <c r="C130" s="56"/>
      <c r="D130" s="56"/>
      <c r="E130" s="56"/>
      <c r="F130" s="56"/>
      <c r="G130" s="56"/>
      <c r="H130" s="56"/>
      <c r="I130" s="56"/>
      <c r="J130" s="56"/>
      <c r="K130" s="56"/>
      <c r="L130" s="56"/>
      <c r="M130" s="56"/>
      <c r="N130" s="56"/>
      <c r="O130" s="56"/>
      <c r="P130" s="56"/>
      <c r="Q130" s="56"/>
      <c r="R130" s="56"/>
      <c r="S130" s="56"/>
      <c r="T130" s="56"/>
      <c r="U130" s="56"/>
      <c r="V130" s="64"/>
    </row>
  </sheetData>
  <sheetProtection algorithmName="SHA-512" hashValue="0v76+58enneBYOJPp1T6Dz5o97gvDbrg8MwZ+6MwOLs4vdTRysSdFQ27stBPeoUMkkmkO6xvRw8ExAwDMQyrkw==" saltValue="/QGp38h5l59R3813CgJN/g==" spinCount="100000" sheet="1" objects="1" scenarios="1"/>
  <conditionalFormatting sqref="Q36">
    <cfRule type="containsText" dxfId="11" priority="5" operator="containsText" text="data">
      <formula>NOT(ISERROR(SEARCH("data",Q36)))</formula>
    </cfRule>
  </conditionalFormatting>
  <conditionalFormatting sqref="T36">
    <cfRule type="containsText" dxfId="9" priority="3" operator="containsText" text="data">
      <formula>NOT(ISERROR(SEARCH("data",T36)))</formula>
    </cfRule>
  </conditionalFormatting>
  <pageMargins left="0.7" right="0.7" top="0.75" bottom="0.75" header="0.3" footer="0.3"/>
  <pageSetup paperSize="9" orientation="portrait" horizontalDpi="200" verticalDpi="200" r:id="rId1"/>
  <legacyDrawing r:id="rId2"/>
  <extLst>
    <ext xmlns:x14="http://schemas.microsoft.com/office/spreadsheetml/2009/9/main" uri="{78C0D931-6437-407d-A8EE-F0AAD7539E65}">
      <x14:conditionalFormattings>
        <x14:conditionalFormatting xmlns:xm="http://schemas.microsoft.com/office/excel/2006/main">
          <x14:cfRule type="expression" priority="47" id="{F2539AB7-12EB-495F-868F-335C45BD094E}">
            <xm:f>LEFT($D39,4)*1&gt;LEFT('General inputs'!$I$16,4)*1+'General inputs'!$H$38-1</xm:f>
            <x14:dxf>
              <fill>
                <patternFill>
                  <bgColor rgb="FFDDDDDD"/>
                </patternFill>
              </fill>
            </x14:dxf>
          </x14:cfRule>
          <xm:sqref>E39:G129</xm:sqref>
        </x14:conditionalFormatting>
        <x14:conditionalFormatting xmlns:xm="http://schemas.microsoft.com/office/excel/2006/main">
          <x14:cfRule type="expression" priority="1" id="{04D9EEEA-FFC6-446F-9FA3-330D8E657997}">
            <xm:f>OR(LEFT($D39,4)*1&lt;LEFT('General inputs'!$I$16,4)*1,LEFT($D39,4)*1&gt;LEFT('General inputs'!$I$16,4)*1+'General inputs'!$H$38-1)</xm:f>
            <x14:dxf>
              <fill>
                <patternFill>
                  <bgColor rgb="FFDDDDDD"/>
                </patternFill>
              </fill>
            </x14:dxf>
          </x14:cfRule>
          <xm:sqref>H39:H129</xm:sqref>
        </x14:conditionalFormatting>
        <x14:conditionalFormatting xmlns:xm="http://schemas.microsoft.com/office/excel/2006/main">
          <x14:cfRule type="expression" priority="10" id="{6B0067C0-C24B-4659-92FC-9A9120D63099}">
            <xm:f>LEFT($D39,4)*1&gt;LEFT('General inputs'!$I$18,4)*1</xm:f>
            <x14:dxf>
              <fill>
                <patternFill>
                  <bgColor rgb="FFDDDDDD"/>
                </patternFill>
              </fill>
            </x14:dxf>
          </x14:cfRule>
          <xm:sqref>L39:M129</xm:sqref>
        </x14:conditionalFormatting>
        <x14:conditionalFormatting xmlns:xm="http://schemas.microsoft.com/office/excel/2006/main">
          <x14:cfRule type="expression" priority="48" id="{C0A81E9A-9D86-4B88-9785-A24519DF4322}">
            <xm:f>LEFT($D39,4)*1&lt;=LEFT('General inputs'!$I$18,4)*1</xm:f>
            <x14:dxf>
              <fill>
                <patternFill>
                  <bgColor rgb="FFDDDDDD"/>
                </patternFill>
              </fill>
            </x14:dxf>
          </x14:cfRule>
          <xm:sqref>N39:O129</xm:sqref>
        </x14:conditionalFormatting>
        <x14:conditionalFormatting xmlns:xm="http://schemas.microsoft.com/office/excel/2006/main">
          <x14:cfRule type="expression" priority="49" id="{4007EED2-5127-4B0E-9224-74B73C828219}">
            <xm:f>OR(LEFT($D39,4)*1&lt;LEFT('General inputs'!$I$16,4)*1,LEFT($D39,4)*1&gt;LEFT('General inputs'!$I$16,4)*1+'General inputs'!$H$38-1)</xm:f>
            <x14:dxf>
              <fill>
                <patternFill>
                  <bgColor rgb="FFDDDDDD"/>
                </patternFill>
              </fill>
            </x14:dxf>
          </x14:cfRule>
          <xm:sqref>Q39:R129 T39:U129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7" tint="0.79998168889431442"/>
  </sheetPr>
  <dimension ref="C3:M50"/>
  <sheetViews>
    <sheetView showGridLines="0" zoomScale="74" zoomScaleNormal="100" workbookViewId="0">
      <selection activeCell="H6" sqref="H6"/>
    </sheetView>
  </sheetViews>
  <sheetFormatPr defaultRowHeight="11.4" x14ac:dyDescent="0.2"/>
  <cols>
    <col min="1" max="3" width="2.75" style="39" customWidth="1"/>
    <col min="4" max="4" width="19.75" style="39" customWidth="1"/>
    <col min="5" max="5" width="15.875" style="39" customWidth="1"/>
    <col min="6" max="6" width="32" style="39" customWidth="1"/>
    <col min="7" max="7" width="48.125" style="39" customWidth="1"/>
    <col min="8" max="14" width="15.75" style="39" customWidth="1"/>
    <col min="15" max="16384" width="9" style="39"/>
  </cols>
  <sheetData>
    <row r="3" spans="3:13" ht="21" x14ac:dyDescent="0.4">
      <c r="C3" s="54" t="s">
        <v>122</v>
      </c>
    </row>
    <row r="5" spans="3:13" ht="15.6" x14ac:dyDescent="0.3">
      <c r="C5" s="55" t="s">
        <v>123</v>
      </c>
      <c r="H5" s="274" t="s">
        <v>124</v>
      </c>
      <c r="I5" s="274"/>
      <c r="L5" s="73" t="str">
        <f>"Do not delete - data validation for option at "&amp;ADDRESS(ROW(H5),COLUMN(H5))</f>
        <v>Do not delete - data validation for option at $H$5</v>
      </c>
    </row>
    <row r="6" spans="3:13" x14ac:dyDescent="0.2">
      <c r="L6" s="39" t="s">
        <v>125</v>
      </c>
      <c r="M6" s="39" t="s">
        <v>126</v>
      </c>
    </row>
    <row r="7" spans="3:13" ht="15.6" x14ac:dyDescent="0.3">
      <c r="C7" s="55" t="s">
        <v>127</v>
      </c>
      <c r="H7" s="274" t="s">
        <v>128</v>
      </c>
      <c r="I7" s="274"/>
      <c r="L7" s="110" t="s">
        <v>129</v>
      </c>
      <c r="M7" s="111">
        <v>0</v>
      </c>
    </row>
    <row r="8" spans="3:13" x14ac:dyDescent="0.2">
      <c r="L8" s="112" t="s">
        <v>130</v>
      </c>
      <c r="M8" s="113">
        <v>0.03</v>
      </c>
    </row>
    <row r="9" spans="3:13" ht="15.6" x14ac:dyDescent="0.3">
      <c r="C9" s="55" t="s">
        <v>131</v>
      </c>
      <c r="H9" s="274" t="s">
        <v>128</v>
      </c>
      <c r="I9" s="274"/>
      <c r="L9" s="114" t="s">
        <v>124</v>
      </c>
      <c r="M9" s="115">
        <v>0.03</v>
      </c>
    </row>
    <row r="11" spans="3:13" ht="15.6" x14ac:dyDescent="0.3">
      <c r="C11" s="55" t="s">
        <v>132</v>
      </c>
      <c r="H11" s="274" t="s">
        <v>133</v>
      </c>
      <c r="I11" s="274"/>
    </row>
    <row r="12" spans="3:13" ht="12" x14ac:dyDescent="0.25">
      <c r="L12" s="73" t="str">
        <f>"Do not delete - data validation for options at "&amp;ADDRESS(ROW(H11),COLUMN(H11))</f>
        <v>Do not delete - data validation for options at $H$11</v>
      </c>
    </row>
    <row r="13" spans="3:13" x14ac:dyDescent="0.2">
      <c r="L13" s="110" t="s">
        <v>134</v>
      </c>
    </row>
    <row r="14" spans="3:13" ht="15.6" x14ac:dyDescent="0.3">
      <c r="C14" s="55" t="s">
        <v>135</v>
      </c>
      <c r="I14" s="116" t="s">
        <v>136</v>
      </c>
      <c r="L14" s="112" t="s">
        <v>137</v>
      </c>
    </row>
    <row r="15" spans="3:13" x14ac:dyDescent="0.2">
      <c r="L15" s="114" t="s">
        <v>133</v>
      </c>
    </row>
    <row r="16" spans="3:13" ht="12" x14ac:dyDescent="0.25">
      <c r="D16" s="73" t="s">
        <v>138</v>
      </c>
      <c r="I16" s="117" t="s">
        <v>139</v>
      </c>
    </row>
    <row r="17" spans="3:12" ht="12" x14ac:dyDescent="0.25">
      <c r="D17" s="73"/>
    </row>
    <row r="18" spans="3:12" ht="12" x14ac:dyDescent="0.25">
      <c r="D18" s="73" t="s">
        <v>140</v>
      </c>
      <c r="H18" s="118">
        <v>45838</v>
      </c>
      <c r="I18" s="119" t="str">
        <f>IF(MONTH(H18)&gt;=7,YEAR(H18)&amp;"-"&amp;RIGHT(YEAR(H18),2)+1,RIGHT(YEAR(H18),4)-1&amp;"-"&amp;RIGHT(YEAR(H18),2))</f>
        <v>2024-25</v>
      </c>
      <c r="L18" s="73" t="str">
        <f>"Do not delete - data validation for options at "&amp;ADDRESS(ROW(I16),COLUMN(I16))&amp;" and "&amp;ADDRESS(ROW(I40),COLUMN(I40))</f>
        <v>Do not delete - data validation for options at $I$16 and $I$40</v>
      </c>
    </row>
    <row r="19" spans="3:12" x14ac:dyDescent="0.2">
      <c r="L19" s="120" t="s">
        <v>141</v>
      </c>
    </row>
    <row r="20" spans="3:12" x14ac:dyDescent="0.2">
      <c r="L20" s="112" t="s">
        <v>142</v>
      </c>
    </row>
    <row r="21" spans="3:12" ht="12" x14ac:dyDescent="0.25">
      <c r="D21" s="73" t="s">
        <v>143</v>
      </c>
      <c r="L21" s="112" t="s">
        <v>144</v>
      </c>
    </row>
    <row r="22" spans="3:12" x14ac:dyDescent="0.2">
      <c r="L22" s="112" t="s">
        <v>145</v>
      </c>
    </row>
    <row r="23" spans="3:12" x14ac:dyDescent="0.2">
      <c r="D23" s="121" t="s">
        <v>146</v>
      </c>
      <c r="H23" s="5">
        <v>25569</v>
      </c>
      <c r="L23" s="112" t="s">
        <v>147</v>
      </c>
    </row>
    <row r="24" spans="3:12" x14ac:dyDescent="0.2">
      <c r="D24" s="121" t="s">
        <v>148</v>
      </c>
      <c r="H24" s="5">
        <v>35064</v>
      </c>
      <c r="L24" s="112" t="s">
        <v>149</v>
      </c>
    </row>
    <row r="25" spans="3:12" x14ac:dyDescent="0.2">
      <c r="L25" s="112" t="s">
        <v>150</v>
      </c>
    </row>
    <row r="26" spans="3:12" x14ac:dyDescent="0.2">
      <c r="L26" s="112" t="s">
        <v>139</v>
      </c>
    </row>
    <row r="27" spans="3:12" x14ac:dyDescent="0.2">
      <c r="L27" s="112" t="s">
        <v>151</v>
      </c>
    </row>
    <row r="28" spans="3:12" ht="15.6" x14ac:dyDescent="0.3">
      <c r="C28" s="55" t="s">
        <v>152</v>
      </c>
      <c r="L28" s="112" t="s">
        <v>153</v>
      </c>
    </row>
    <row r="29" spans="3:12" x14ac:dyDescent="0.2">
      <c r="L29" s="112" t="s">
        <v>154</v>
      </c>
    </row>
    <row r="30" spans="3:12" ht="12" x14ac:dyDescent="0.25">
      <c r="D30" s="73" t="s">
        <v>155</v>
      </c>
      <c r="H30" s="6">
        <f>INDEX($M$7:$M$12,MATCH($H$5,$L$7:$L$12))</f>
        <v>0.03</v>
      </c>
      <c r="L30" s="112" t="s">
        <v>156</v>
      </c>
    </row>
    <row r="31" spans="3:12" ht="12" customHeight="1" x14ac:dyDescent="0.3">
      <c r="C31" s="55"/>
      <c r="D31" s="73"/>
      <c r="H31" s="122"/>
      <c r="L31" s="114" t="s">
        <v>157</v>
      </c>
    </row>
    <row r="32" spans="3:12" ht="12" customHeight="1" x14ac:dyDescent="0.3">
      <c r="C32" s="55"/>
      <c r="D32" s="123" t="s">
        <v>158</v>
      </c>
      <c r="H32" s="124">
        <v>4.1000000000000002E-2</v>
      </c>
    </row>
    <row r="33" spans="3:12" ht="12" customHeight="1" x14ac:dyDescent="0.25">
      <c r="D33" s="73"/>
      <c r="H33" s="122"/>
    </row>
    <row r="34" spans="3:12" ht="12" customHeight="1" x14ac:dyDescent="0.25">
      <c r="D34" s="123" t="s">
        <v>159</v>
      </c>
      <c r="H34" s="124">
        <v>4.1000000000000002E-2</v>
      </c>
    </row>
    <row r="35" spans="3:12" ht="12" customHeight="1" x14ac:dyDescent="0.3">
      <c r="C35" s="55"/>
    </row>
    <row r="36" spans="3:12" ht="12" customHeight="1" x14ac:dyDescent="0.3">
      <c r="C36" s="55"/>
      <c r="D36" s="73" t="s">
        <v>160</v>
      </c>
      <c r="H36" s="125">
        <v>0.10495897174171546</v>
      </c>
      <c r="L36" s="73" t="str">
        <f>"Do not delete - data validation for option at "&amp;ADDRESS(ROW(H42),COLUMN(H42))</f>
        <v>Do not delete - data validation for option at $H$42</v>
      </c>
    </row>
    <row r="37" spans="3:12" ht="12" customHeight="1" x14ac:dyDescent="0.3">
      <c r="C37" s="55"/>
      <c r="L37" s="110" t="s">
        <v>161</v>
      </c>
    </row>
    <row r="38" spans="3:12" ht="12" customHeight="1" x14ac:dyDescent="0.3">
      <c r="C38" s="55"/>
      <c r="D38" s="73" t="s">
        <v>162</v>
      </c>
      <c r="H38" s="7">
        <v>30</v>
      </c>
      <c r="L38" s="112" t="s">
        <v>163</v>
      </c>
    </row>
    <row r="39" spans="3:12" ht="12" customHeight="1" x14ac:dyDescent="0.3">
      <c r="C39" s="55"/>
      <c r="L39" s="114" t="s">
        <v>164</v>
      </c>
    </row>
    <row r="40" spans="3:12" ht="12" customHeight="1" x14ac:dyDescent="0.25">
      <c r="D40" s="73" t="s">
        <v>165</v>
      </c>
      <c r="I40" s="117" t="s">
        <v>139</v>
      </c>
    </row>
    <row r="42" spans="3:12" ht="12" x14ac:dyDescent="0.25">
      <c r="D42" s="73" t="s">
        <v>166</v>
      </c>
      <c r="H42" s="126" t="s">
        <v>161</v>
      </c>
    </row>
    <row r="43" spans="3:12" ht="12" x14ac:dyDescent="0.25">
      <c r="D43" s="73"/>
    </row>
    <row r="47" spans="3:12" ht="15.6" x14ac:dyDescent="0.3">
      <c r="C47" s="55"/>
    </row>
    <row r="49" spans="6:6" x14ac:dyDescent="0.2">
      <c r="F49" s="127"/>
    </row>
    <row r="50" spans="6:6" x14ac:dyDescent="0.2">
      <c r="F50" s="127"/>
    </row>
  </sheetData>
  <sheetProtection algorithmName="SHA-512" hashValue="cQRAFZEeDuBe3ljJJTjwfjru1MleFrYJ3ZGbAB71E73yHR794IxZsz+lV3+i++lOWn56mY92H4kw3kXgjLIuqw==" saltValue="GKyjT2YvqMQcgH0IZ+m0sg==" spinCount="100000" sheet="1" objects="1" scenarios="1"/>
  <mergeCells count="4">
    <mergeCell ref="H5:I5"/>
    <mergeCell ref="H7:I7"/>
    <mergeCell ref="H9:I9"/>
    <mergeCell ref="H11:I11"/>
  </mergeCells>
  <dataValidations count="4">
    <dataValidation type="list" allowBlank="1" showInputMessage="1" showErrorMessage="1" sqref="I40 I16" xr:uid="{00000000-0002-0000-0400-000000000000}">
      <formula1>$L$19:$L$31</formula1>
    </dataValidation>
    <dataValidation type="list" allowBlank="1" showInputMessage="1" showErrorMessage="1" sqref="H42" xr:uid="{00000000-0002-0000-0400-000001000000}">
      <formula1>$L$37:$L$39</formula1>
    </dataValidation>
    <dataValidation type="list" allowBlank="1" showInputMessage="1" showErrorMessage="1" sqref="H11" xr:uid="{00000000-0002-0000-0400-000002000000}">
      <formula1>$L$13:$L$15</formula1>
    </dataValidation>
    <dataValidation type="list" allowBlank="1" showInputMessage="1" showErrorMessage="1" sqref="H5:I5" xr:uid="{00000000-0002-0000-0400-000003000000}">
      <formula1>$L$7:$L$9</formula1>
    </dataValidation>
  </dataValidations>
  <pageMargins left="0.7" right="0.7" top="0.75" bottom="0.75" header="0.3" footer="0.3"/>
  <pageSetup paperSize="9" orientation="portrait" horizontalDpi="200" verticalDpi="200"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7" tint="0.79998168889431442"/>
  </sheetPr>
  <dimension ref="C1:P243"/>
  <sheetViews>
    <sheetView showGridLines="0" tabSelected="1" zoomScale="55" zoomScaleNormal="55" workbookViewId="0">
      <selection activeCell="D22" sqref="D22"/>
    </sheetView>
  </sheetViews>
  <sheetFormatPr defaultColWidth="28" defaultRowHeight="11.4" x14ac:dyDescent="0.2"/>
  <cols>
    <col min="1" max="2" width="2.75" style="39" customWidth="1"/>
    <col min="3" max="3" width="15.75" style="39" customWidth="1"/>
    <col min="4" max="4" width="49.75" style="39" customWidth="1"/>
    <col min="5" max="5" width="19.125" style="39" bestFit="1" customWidth="1"/>
    <col min="6" max="6" width="25.875" style="39" customWidth="1"/>
    <col min="7" max="7" width="2.75" style="39" customWidth="1"/>
    <col min="8" max="10" width="15.75" style="39" customWidth="1"/>
    <col min="11" max="11" width="2.75" style="39" customWidth="1"/>
    <col min="12" max="13" width="15.75" style="39" customWidth="1"/>
    <col min="14" max="14" width="18" style="39" customWidth="1"/>
    <col min="15" max="16" width="15.75" style="39" customWidth="1"/>
    <col min="17" max="16384" width="28" style="39"/>
  </cols>
  <sheetData>
    <row r="1" spans="3:8" x14ac:dyDescent="0.2">
      <c r="E1" s="127"/>
    </row>
    <row r="2" spans="3:8" x14ac:dyDescent="0.2">
      <c r="E2" s="127"/>
    </row>
    <row r="3" spans="3:8" ht="21" x14ac:dyDescent="0.4">
      <c r="C3" s="54" t="s">
        <v>167</v>
      </c>
    </row>
    <row r="6" spans="3:8" ht="12" x14ac:dyDescent="0.25">
      <c r="C6" s="128" t="str">
        <f ca="1">"Consideration must be given to the principles regarding asset exclusions presented on the '"&amp;MID(CELL("filename",'Asset exclusions'!A1),FIND("]",CELL("filename",'Asset exclusions'!A1))+1,255)&amp;"' worksheet before they are entered into the register."</f>
        <v>Consideration must be given to the principles regarding asset exclusions presented on the 'Asset exclusions' worksheet before they are entered into the register.</v>
      </c>
    </row>
    <row r="7" spans="3:8" ht="12" x14ac:dyDescent="0.25">
      <c r="C7" s="65" t="str">
        <f ca="1">"Hyperlink to the '"&amp;MID(CELL("filename",'Asset exclusions'!A1),FIND("]",CELL("filename",'Asset exclusions'!A1))+1,255)&amp;"' worksheet:"</f>
        <v>Hyperlink to the 'Asset exclusions' worksheet:</v>
      </c>
      <c r="E7" s="129" t="s">
        <v>168</v>
      </c>
    </row>
    <row r="8" spans="3:8" ht="12" x14ac:dyDescent="0.25">
      <c r="C8" s="65"/>
      <c r="E8" s="129"/>
    </row>
    <row r="9" spans="3:8" ht="12" x14ac:dyDescent="0.25">
      <c r="C9" s="65" t="s">
        <v>169</v>
      </c>
      <c r="E9" s="129"/>
    </row>
    <row r="10" spans="3:8" ht="12" x14ac:dyDescent="0.25">
      <c r="C10" s="65" t="s">
        <v>170</v>
      </c>
      <c r="E10" s="129"/>
    </row>
    <row r="11" spans="3:8" ht="12" x14ac:dyDescent="0.25">
      <c r="C11" s="65" t="s">
        <v>171</v>
      </c>
      <c r="E11" s="129"/>
    </row>
    <row r="12" spans="3:8" ht="12" x14ac:dyDescent="0.25">
      <c r="C12" s="65" t="s">
        <v>172</v>
      </c>
      <c r="E12" s="129"/>
    </row>
    <row r="13" spans="3:8" x14ac:dyDescent="0.2">
      <c r="H13" s="127"/>
    </row>
    <row r="14" spans="3:8" ht="12" x14ac:dyDescent="0.25">
      <c r="C14" s="73" t="s">
        <v>173</v>
      </c>
      <c r="H14" s="127"/>
    </row>
    <row r="15" spans="3:8" x14ac:dyDescent="0.2">
      <c r="C15" s="121" t="s">
        <v>174</v>
      </c>
      <c r="E15" s="130">
        <f>'General inputs'!$H$23</f>
        <v>25569</v>
      </c>
      <c r="H15" s="127"/>
    </row>
    <row r="16" spans="3:8" x14ac:dyDescent="0.2">
      <c r="C16" s="121" t="s">
        <v>175</v>
      </c>
      <c r="E16" s="131">
        <f>'General inputs'!$H$24</f>
        <v>35064</v>
      </c>
      <c r="H16" s="127"/>
    </row>
    <row r="18" spans="3:16" ht="15.6" x14ac:dyDescent="0.3">
      <c r="C18" s="55" t="s">
        <v>176</v>
      </c>
    </row>
    <row r="20" spans="3:16" ht="12" x14ac:dyDescent="0.25">
      <c r="C20" s="73" t="s">
        <v>177</v>
      </c>
      <c r="H20" s="73" t="s">
        <v>178</v>
      </c>
      <c r="L20" s="73" t="s">
        <v>179</v>
      </c>
      <c r="M20" s="73"/>
    </row>
    <row r="21" spans="3:16" ht="45.6" x14ac:dyDescent="0.2">
      <c r="C21" s="132" t="s">
        <v>180</v>
      </c>
      <c r="D21" s="133" t="s">
        <v>181</v>
      </c>
      <c r="E21" s="132" t="s">
        <v>182</v>
      </c>
      <c r="F21" s="97" t="s">
        <v>183</v>
      </c>
      <c r="H21" s="132" t="s">
        <v>184</v>
      </c>
      <c r="I21" s="132" t="s">
        <v>185</v>
      </c>
      <c r="J21" s="132" t="s">
        <v>186</v>
      </c>
      <c r="L21" s="134" t="s">
        <v>187</v>
      </c>
      <c r="M21" s="97" t="s">
        <v>188</v>
      </c>
      <c r="N21" s="134" t="str">
        <f>"MEERA value per unit/measure of length (B) 
("&amp;'General inputs'!$H$42&amp;" as at 1 July "&amp;LEFT('General inputs'!$I$40,4)&amp;")"</f>
        <v>MEERA value per unit/measure of length (B) 
($ as at 1 July 2025)</v>
      </c>
      <c r="O21" s="132" t="str">
        <f>"Total MEERA value (A x B)
("&amp;'General inputs'!$H$42&amp;", $"&amp;'General inputs'!$I$40&amp;")"</f>
        <v>Total MEERA value (A x B)
($, $2025-26)</v>
      </c>
      <c r="P21" s="97" t="str">
        <f>"MEERA value to be recovered via DSP ("&amp;'General inputs'!$H$42&amp;", $"&amp;'General inputs'!$I$40&amp;")"</f>
        <v>MEERA value to be recovered via DSP ($, $2025-26)</v>
      </c>
    </row>
    <row r="22" spans="3:16" x14ac:dyDescent="0.2">
      <c r="C22" s="135"/>
      <c r="D22" s="136" t="s">
        <v>189</v>
      </c>
      <c r="E22" s="137">
        <v>34516</v>
      </c>
      <c r="F22" s="138" t="str">
        <f t="shared" ref="F22:F86" si="0">IF(E22="","-",IF(OR(E22&lt;$E$15,E22&gt;$E$16),"ERROR - date outside of range","Date check - OK"))</f>
        <v>Date check - OK</v>
      </c>
      <c r="H22" s="139" t="s">
        <v>190</v>
      </c>
      <c r="I22" s="140">
        <v>2304.2068742359793</v>
      </c>
      <c r="J22" s="141">
        <f>IF(OR(M22="metres",M22="pipe"),INDEX('Scheme cost allocation'!$D$21:$D$42,MATCH(IF(MONTH(E22)&lt;7,YEAR(E22),YEAR(E22)+1),'Scheme cost allocation'!$C$21:$C$42,0))*'Scheme cost allocation'!$J$21,'Scheme cost allocation'!$J$21)</f>
        <v>0.45855079888177602</v>
      </c>
      <c r="L22" s="140">
        <v>6.2267838810200002</v>
      </c>
      <c r="M22" s="142" t="s">
        <v>191</v>
      </c>
      <c r="N22" s="140">
        <v>4744.1023862748934</v>
      </c>
      <c r="O22" s="143">
        <f t="shared" ref="O22:O86" si="1">IF(N22="","-",L22*N22)</f>
        <v>29540.500268765027</v>
      </c>
      <c r="P22" s="144">
        <f>IF(O22="-","-",IF(OR(E22&lt;$E$15,E22&gt;$E$16),0,O22*J22))</f>
        <v>13545.819997609522</v>
      </c>
    </row>
    <row r="23" spans="3:16" x14ac:dyDescent="0.2">
      <c r="C23" s="145"/>
      <c r="D23" s="146" t="s">
        <v>192</v>
      </c>
      <c r="E23" s="137">
        <v>34516</v>
      </c>
      <c r="F23" s="138" t="str">
        <f t="shared" si="0"/>
        <v>Date check - OK</v>
      </c>
      <c r="H23" s="147" t="s">
        <v>190</v>
      </c>
      <c r="I23" s="148">
        <v>2304.2068742359793</v>
      </c>
      <c r="J23" s="141">
        <f>IF(OR(M23="metres",M23="pipe"),INDEX('Scheme cost allocation'!$D$21:$D$42,MATCH(IF(MONTH(E23)&lt;7,YEAR(E23),YEAR(E23)+1),'Scheme cost allocation'!$C$21:$C$42,0))*'Scheme cost allocation'!$J$21,'Scheme cost allocation'!$J$21)</f>
        <v>0.45855079888177602</v>
      </c>
      <c r="L23" s="148">
        <v>11.231540153699999</v>
      </c>
      <c r="M23" s="149" t="s">
        <v>191</v>
      </c>
      <c r="N23" s="148">
        <v>8683.4839286275837</v>
      </c>
      <c r="O23" s="143">
        <f t="shared" si="1"/>
        <v>97528.898418389319</v>
      </c>
      <c r="P23" s="144">
        <f t="shared" ref="P23:P86" si="2">IF(O23="-","-",IF(OR(E23&lt;$E$15,E23&gt;$E$16),0,O23*J23))</f>
        <v>44721.954283812003</v>
      </c>
    </row>
    <row r="24" spans="3:16" x14ac:dyDescent="0.2">
      <c r="C24" s="145"/>
      <c r="D24" s="146" t="s">
        <v>193</v>
      </c>
      <c r="E24" s="137">
        <v>34881</v>
      </c>
      <c r="F24" s="138" t="str">
        <f t="shared" si="0"/>
        <v>Date check - OK</v>
      </c>
      <c r="H24" s="147" t="s">
        <v>190</v>
      </c>
      <c r="I24" s="148">
        <v>2304.2068742359793</v>
      </c>
      <c r="J24" s="141">
        <f>IF(OR(M24="metres",M24="pipe"),INDEX('Scheme cost allocation'!$D$21:$D$42,MATCH(IF(MONTH(E24)&lt;7,YEAR(E24),YEAR(E24)+1),'Scheme cost allocation'!$C$21:$C$42,0))*'Scheme cost allocation'!$J$21,'Scheme cost allocation'!$J$21)</f>
        <v>0.13039018586456833</v>
      </c>
      <c r="L24" s="148">
        <v>73.8773861528</v>
      </c>
      <c r="M24" s="149" t="s">
        <v>191</v>
      </c>
      <c r="N24" s="148">
        <v>14279.156437205198</v>
      </c>
      <c r="O24" s="143">
        <f t="shared" si="1"/>
        <v>1054906.7540476483</v>
      </c>
      <c r="P24" s="144">
        <f t="shared" si="2"/>
        <v>137549.48773006132</v>
      </c>
    </row>
    <row r="25" spans="3:16" x14ac:dyDescent="0.2">
      <c r="C25" s="145"/>
      <c r="D25" s="146" t="s">
        <v>194</v>
      </c>
      <c r="E25" s="137">
        <v>34516</v>
      </c>
      <c r="F25" s="138" t="str">
        <f>IF(E25="","-",IF(OR(E25&lt;$E$15,E25&gt;$E$16),"ERROR - date outside of range","Date check - OK"))</f>
        <v>Date check - OK</v>
      </c>
      <c r="H25" s="147" t="s">
        <v>190</v>
      </c>
      <c r="I25" s="148">
        <v>2304.2068742359793</v>
      </c>
      <c r="J25" s="141">
        <f>IF(OR(M25="metres",M25="pipe"),INDEX('Scheme cost allocation'!$D$21:$D$42,MATCH(IF(MONTH(E25)&lt;7,YEAR(E25),YEAR(E25)+1),'Scheme cost allocation'!$C$21:$C$42,0))*'Scheme cost allocation'!$J$21,'Scheme cost allocation'!$J$21)</f>
        <v>0.45855079888177602</v>
      </c>
      <c r="L25" s="148">
        <v>31.582774643699999</v>
      </c>
      <c r="M25" s="149" t="s">
        <v>191</v>
      </c>
      <c r="N25" s="148">
        <v>13135.819213941901</v>
      </c>
      <c r="O25" s="143">
        <f t="shared" si="1"/>
        <v>414865.6179943115</v>
      </c>
      <c r="P25" s="144">
        <f t="shared" si="2"/>
        <v>190236.96055987326</v>
      </c>
    </row>
    <row r="26" spans="3:16" x14ac:dyDescent="0.2">
      <c r="C26" s="145"/>
      <c r="D26" s="146" t="s">
        <v>195</v>
      </c>
      <c r="E26" s="137">
        <v>34516</v>
      </c>
      <c r="F26" s="138" t="str">
        <f t="shared" si="0"/>
        <v>Date check - OK</v>
      </c>
      <c r="H26" s="147" t="s">
        <v>190</v>
      </c>
      <c r="I26" s="148">
        <v>2304.2068742359793</v>
      </c>
      <c r="J26" s="141">
        <f>IF(OR(M26="metres",M26="pipe"),INDEX('Scheme cost allocation'!$D$21:$D$42,MATCH(IF(MONTH(E26)&lt;7,YEAR(E26),YEAR(E26)+1),'Scheme cost allocation'!$C$21:$C$42,0))*'Scheme cost allocation'!$J$21,'Scheme cost allocation'!$J$21)</f>
        <v>0.45855079888177602</v>
      </c>
      <c r="L26" s="148">
        <v>30.0649433227</v>
      </c>
      <c r="M26" s="149" t="s">
        <v>191</v>
      </c>
      <c r="N26" s="148">
        <v>4346.9768907523503</v>
      </c>
      <c r="O26" s="143">
        <f t="shared" si="1"/>
        <v>130691.61384555609</v>
      </c>
      <c r="P26" s="144">
        <f>IF(O26="-","-",IF(OR(E26&lt;$E$15,E26&gt;$E$16),0,O26*J26))</f>
        <v>59928.743936028324</v>
      </c>
    </row>
    <row r="27" spans="3:16" x14ac:dyDescent="0.2">
      <c r="C27" s="145"/>
      <c r="D27" s="146" t="s">
        <v>196</v>
      </c>
      <c r="E27" s="137">
        <v>34881</v>
      </c>
      <c r="F27" s="138" t="str">
        <f t="shared" si="0"/>
        <v>Date check - OK</v>
      </c>
      <c r="H27" s="147" t="s">
        <v>190</v>
      </c>
      <c r="I27" s="148">
        <v>2304.2068742359793</v>
      </c>
      <c r="J27" s="141">
        <f>IF(OR(M27="metres",M27="pipe"),INDEX('Scheme cost allocation'!$D$21:$D$42,MATCH(IF(MONTH(E27)&lt;7,YEAR(E27),YEAR(E27)+1),'Scheme cost allocation'!$C$21:$C$42,0))*'Scheme cost allocation'!$J$21,'Scheme cost allocation'!$J$21)</f>
        <v>0.13039018586456833</v>
      </c>
      <c r="L27" s="148">
        <v>10.3211617692</v>
      </c>
      <c r="M27" s="149" t="s">
        <v>191</v>
      </c>
      <c r="N27" s="148">
        <v>13273.208678806821</v>
      </c>
      <c r="O27" s="143">
        <f t="shared" si="1"/>
        <v>136994.9339703146</v>
      </c>
      <c r="P27" s="144">
        <f t="shared" si="2"/>
        <v>17862.794902893584</v>
      </c>
    </row>
    <row r="28" spans="3:16" x14ac:dyDescent="0.2">
      <c r="C28" s="145"/>
      <c r="D28" s="146" t="s">
        <v>197</v>
      </c>
      <c r="E28" s="137">
        <v>34516</v>
      </c>
      <c r="F28" s="138" t="str">
        <f t="shared" si="0"/>
        <v>Date check - OK</v>
      </c>
      <c r="H28" s="147" t="s">
        <v>190</v>
      </c>
      <c r="I28" s="148">
        <v>2304.2068742359793</v>
      </c>
      <c r="J28" s="141">
        <f>IF(OR(M28="metres",M28="pipe"),INDEX('Scheme cost allocation'!$D$21:$D$42,MATCH(IF(MONTH(E28)&lt;7,YEAR(E28),YEAR(E28)+1),'Scheme cost allocation'!$C$21:$C$42,0))*'Scheme cost allocation'!$J$21,'Scheme cost allocation'!$J$21)</f>
        <v>0.45855079888177602</v>
      </c>
      <c r="L28" s="148">
        <v>16.085096568099999</v>
      </c>
      <c r="M28" s="149" t="s">
        <v>191</v>
      </c>
      <c r="N28" s="148">
        <v>11750.418594570367</v>
      </c>
      <c r="O28" s="143">
        <f t="shared" si="1"/>
        <v>189006.61780926221</v>
      </c>
      <c r="P28" s="144">
        <f t="shared" si="2"/>
        <v>86669.135590379708</v>
      </c>
    </row>
    <row r="29" spans="3:16" x14ac:dyDescent="0.2">
      <c r="C29" s="145"/>
      <c r="D29" s="146" t="s">
        <v>198</v>
      </c>
      <c r="E29" s="137">
        <v>34881</v>
      </c>
      <c r="F29" s="138" t="str">
        <f t="shared" si="0"/>
        <v>Date check - OK</v>
      </c>
      <c r="H29" s="147" t="s">
        <v>190</v>
      </c>
      <c r="I29" s="148">
        <v>2304.2068742359793</v>
      </c>
      <c r="J29" s="141">
        <f>IF(OR(M29="metres",M29="pipe"),INDEX('Scheme cost allocation'!$D$21:$D$42,MATCH(IF(MONTH(E29)&lt;7,YEAR(E29),YEAR(E29)+1),'Scheme cost allocation'!$C$21:$C$42,0))*'Scheme cost allocation'!$J$21,'Scheme cost allocation'!$J$21)</f>
        <v>0.13039018586456833</v>
      </c>
      <c r="L29" s="148">
        <v>28.172303478</v>
      </c>
      <c r="M29" s="149" t="s">
        <v>191</v>
      </c>
      <c r="N29" s="148">
        <v>14279.1564372052</v>
      </c>
      <c r="O29" s="143">
        <f t="shared" si="1"/>
        <v>402276.72855878214</v>
      </c>
      <c r="P29" s="144">
        <f t="shared" si="2"/>
        <v>52452.937405770106</v>
      </c>
    </row>
    <row r="30" spans="3:16" x14ac:dyDescent="0.2">
      <c r="C30" s="145"/>
      <c r="D30" s="146" t="s">
        <v>199</v>
      </c>
      <c r="E30" s="137">
        <v>34516</v>
      </c>
      <c r="F30" s="138" t="str">
        <f t="shared" si="0"/>
        <v>Date check - OK</v>
      </c>
      <c r="H30" s="147" t="s">
        <v>190</v>
      </c>
      <c r="I30" s="148">
        <v>2304.2068742359793</v>
      </c>
      <c r="J30" s="141">
        <f>IF(OR(M30="metres",M30="pipe"),INDEX('Scheme cost allocation'!$D$21:$D$42,MATCH(IF(MONTH(E30)&lt;7,YEAR(E30),YEAR(E30)+1),'Scheme cost allocation'!$C$21:$C$42,0))*'Scheme cost allocation'!$J$21,'Scheme cost allocation'!$J$21)</f>
        <v>0.45855079888177602</v>
      </c>
      <c r="L30" s="148">
        <v>14.331606473800001</v>
      </c>
      <c r="M30" s="149" t="s">
        <v>191</v>
      </c>
      <c r="N30" s="148">
        <v>8683.4839286275856</v>
      </c>
      <c r="O30" s="143">
        <f t="shared" si="1"/>
        <v>124448.27448665736</v>
      </c>
      <c r="P30" s="144">
        <f t="shared" si="2"/>
        <v>57065.855685315277</v>
      </c>
    </row>
    <row r="31" spans="3:16" ht="22.8" x14ac:dyDescent="0.2">
      <c r="C31" s="145"/>
      <c r="D31" s="146" t="s">
        <v>200</v>
      </c>
      <c r="E31" s="137">
        <v>34516</v>
      </c>
      <c r="F31" s="138" t="str">
        <f t="shared" si="0"/>
        <v>Date check - OK</v>
      </c>
      <c r="H31" s="147" t="s">
        <v>190</v>
      </c>
      <c r="I31" s="148">
        <v>2304.2068742359793</v>
      </c>
      <c r="J31" s="141">
        <f>IF(OR(M31="metres",M31="pipe"),INDEX('Scheme cost allocation'!$D$21:$D$42,MATCH(IF(MONTH(E31)&lt;7,YEAR(E31),YEAR(E31)+1),'Scheme cost allocation'!$C$21:$C$42,0))*'Scheme cost allocation'!$J$21,'Scheme cost allocation'!$J$21)</f>
        <v>0.45855079888177602</v>
      </c>
      <c r="L31" s="148">
        <v>41.564113140499998</v>
      </c>
      <c r="M31" s="149" t="s">
        <v>191</v>
      </c>
      <c r="N31" s="148">
        <v>429.06517328691262</v>
      </c>
      <c r="O31" s="143">
        <f t="shared" si="1"/>
        <v>17833.713407145475</v>
      </c>
      <c r="P31" s="144">
        <f t="shared" si="2"/>
        <v>8177.6635298751971</v>
      </c>
    </row>
    <row r="32" spans="3:16" ht="22.8" x14ac:dyDescent="0.2">
      <c r="C32" s="145"/>
      <c r="D32" s="146" t="s">
        <v>201</v>
      </c>
      <c r="E32" s="137">
        <v>34516</v>
      </c>
      <c r="F32" s="138" t="str">
        <f t="shared" si="0"/>
        <v>Date check - OK</v>
      </c>
      <c r="H32" s="147" t="s">
        <v>190</v>
      </c>
      <c r="I32" s="148">
        <v>2304.2068742359793</v>
      </c>
      <c r="J32" s="141">
        <f>IF(OR(M32="metres",M32="pipe"),INDEX('Scheme cost allocation'!$D$21:$D$42,MATCH(IF(MONTH(E32)&lt;7,YEAR(E32),YEAR(E32)+1),'Scheme cost allocation'!$C$21:$C$42,0))*'Scheme cost allocation'!$J$21,'Scheme cost allocation'!$J$21)</f>
        <v>0.45855079888177602</v>
      </c>
      <c r="L32" s="148">
        <v>245.32511615000001</v>
      </c>
      <c r="M32" s="149" t="s">
        <v>191</v>
      </c>
      <c r="N32" s="148">
        <v>8969.6641032453881</v>
      </c>
      <c r="O32" s="143">
        <f t="shared" si="1"/>
        <v>2200483.8879551603</v>
      </c>
      <c r="P32" s="144">
        <f t="shared" si="2"/>
        <v>1009033.6447483153</v>
      </c>
    </row>
    <row r="33" spans="3:16" ht="22.8" x14ac:dyDescent="0.2">
      <c r="C33" s="145"/>
      <c r="D33" s="146" t="s">
        <v>202</v>
      </c>
      <c r="E33" s="137">
        <v>34516</v>
      </c>
      <c r="F33" s="138" t="str">
        <f t="shared" si="0"/>
        <v>Date check - OK</v>
      </c>
      <c r="H33" s="147" t="s">
        <v>190</v>
      </c>
      <c r="I33" s="148">
        <v>2304.2068742359793</v>
      </c>
      <c r="J33" s="141">
        <f>IF(OR(M33="metres",M33="pipe"),INDEX('Scheme cost allocation'!$D$21:$D$42,MATCH(IF(MONTH(E33)&lt;7,YEAR(E33),YEAR(E33)+1),'Scheme cost allocation'!$C$21:$C$42,0))*'Scheme cost allocation'!$J$21,'Scheme cost allocation'!$J$21)</f>
        <v>0.45855079888177602</v>
      </c>
      <c r="L33" s="148">
        <v>122.13559653199999</v>
      </c>
      <c r="M33" s="149" t="s">
        <v>191</v>
      </c>
      <c r="N33" s="148">
        <v>12640.012639217797</v>
      </c>
      <c r="O33" s="143">
        <f t="shared" si="1"/>
        <v>1543795.4838628853</v>
      </c>
      <c r="P33" s="144">
        <f t="shared" si="2"/>
        <v>707908.65243540402</v>
      </c>
    </row>
    <row r="34" spans="3:16" ht="22.8" x14ac:dyDescent="0.2">
      <c r="C34" s="145"/>
      <c r="D34" s="146" t="s">
        <v>202</v>
      </c>
      <c r="E34" s="137">
        <v>34516</v>
      </c>
      <c r="F34" s="138" t="str">
        <f t="shared" si="0"/>
        <v>Date check - OK</v>
      </c>
      <c r="H34" s="147" t="s">
        <v>190</v>
      </c>
      <c r="I34" s="148">
        <v>2304.2068742359793</v>
      </c>
      <c r="J34" s="141">
        <f>IF(OR(M34="metres",M34="pipe"),INDEX('Scheme cost allocation'!$D$21:$D$42,MATCH(IF(MONTH(E34)&lt;7,YEAR(E34),YEAR(E34)+1),'Scheme cost allocation'!$C$21:$C$42,0))*'Scheme cost allocation'!$J$21,'Scheme cost allocation'!$J$21)</f>
        <v>0.45855079888177602</v>
      </c>
      <c r="L34" s="148">
        <v>103.458668789</v>
      </c>
      <c r="M34" s="149" t="s">
        <v>191</v>
      </c>
      <c r="N34" s="148">
        <v>12640.012639217797</v>
      </c>
      <c r="O34" s="143">
        <f t="shared" si="1"/>
        <v>1307718.8811296078</v>
      </c>
      <c r="P34" s="144">
        <f t="shared" si="2"/>
        <v>599655.5376547639</v>
      </c>
    </row>
    <row r="35" spans="3:16" ht="22.8" x14ac:dyDescent="0.2">
      <c r="C35" s="145"/>
      <c r="D35" s="146" t="s">
        <v>203</v>
      </c>
      <c r="E35" s="137">
        <v>34516</v>
      </c>
      <c r="F35" s="138" t="str">
        <f t="shared" si="0"/>
        <v>Date check - OK</v>
      </c>
      <c r="H35" s="147" t="s">
        <v>190</v>
      </c>
      <c r="I35" s="148">
        <v>2304.2068742359793</v>
      </c>
      <c r="J35" s="141">
        <f>IF(OR(M35="metres",M35="pipe"),INDEX('Scheme cost allocation'!$D$21:$D$42,MATCH(IF(MONTH(E35)&lt;7,YEAR(E35),YEAR(E35)+1),'Scheme cost allocation'!$C$21:$C$42,0))*'Scheme cost allocation'!$J$21,'Scheme cost allocation'!$J$21)</f>
        <v>0.45855079888177602</v>
      </c>
      <c r="L35" s="148">
        <v>38.6750731128</v>
      </c>
      <c r="M35" s="149" t="s">
        <v>191</v>
      </c>
      <c r="N35" s="148">
        <v>429.06517328691262</v>
      </c>
      <c r="O35" s="143">
        <f t="shared" si="1"/>
        <v>16594.126947027547</v>
      </c>
      <c r="P35" s="144">
        <f t="shared" si="2"/>
        <v>7609.2501683050887</v>
      </c>
    </row>
    <row r="36" spans="3:16" ht="22.8" x14ac:dyDescent="0.2">
      <c r="C36" s="145"/>
      <c r="D36" s="146" t="s">
        <v>204</v>
      </c>
      <c r="E36" s="137">
        <v>34516</v>
      </c>
      <c r="F36" s="138" t="str">
        <f t="shared" si="0"/>
        <v>Date check - OK</v>
      </c>
      <c r="H36" s="147" t="s">
        <v>190</v>
      </c>
      <c r="I36" s="148">
        <v>2304.2068742359793</v>
      </c>
      <c r="J36" s="141">
        <f>IF(OR(M36="metres",M36="pipe"),INDEX('Scheme cost allocation'!$D$21:$D$42,MATCH(IF(MONTH(E36)&lt;7,YEAR(E36),YEAR(E36)+1),'Scheme cost allocation'!$C$21:$C$42,0))*'Scheme cost allocation'!$J$21,'Scheme cost allocation'!$J$21)</f>
        <v>0.45855079888177602</v>
      </c>
      <c r="L36" s="148">
        <v>4.1940745105400001</v>
      </c>
      <c r="M36" s="149" t="s">
        <v>191</v>
      </c>
      <c r="N36" s="148">
        <v>286.04344885794177</v>
      </c>
      <c r="O36" s="143">
        <f t="shared" si="1"/>
        <v>1199.6875377620456</v>
      </c>
      <c r="P36" s="144">
        <f t="shared" si="2"/>
        <v>550.11767884929691</v>
      </c>
    </row>
    <row r="37" spans="3:16" ht="22.8" x14ac:dyDescent="0.2">
      <c r="C37" s="145"/>
      <c r="D37" s="146" t="s">
        <v>202</v>
      </c>
      <c r="E37" s="137">
        <v>34516</v>
      </c>
      <c r="F37" s="138" t="str">
        <f t="shared" si="0"/>
        <v>Date check - OK</v>
      </c>
      <c r="H37" s="147" t="s">
        <v>190</v>
      </c>
      <c r="I37" s="148">
        <v>2304.2068742359793</v>
      </c>
      <c r="J37" s="141">
        <f>IF(OR(M37="metres",M37="pipe"),INDEX('Scheme cost allocation'!$D$21:$D$42,MATCH(IF(MONTH(E37)&lt;7,YEAR(E37),YEAR(E37)+1),'Scheme cost allocation'!$C$21:$C$42,0))*'Scheme cost allocation'!$J$21,'Scheme cost allocation'!$J$21)</f>
        <v>0.45855079888177602</v>
      </c>
      <c r="L37" s="148">
        <v>120.462579021</v>
      </c>
      <c r="M37" s="149" t="s">
        <v>191</v>
      </c>
      <c r="N37" s="148">
        <v>12640.012639217795</v>
      </c>
      <c r="O37" s="143">
        <f t="shared" si="1"/>
        <v>1522648.5213782124</v>
      </c>
      <c r="P37" s="144">
        <f t="shared" si="2"/>
        <v>698211.69589413435</v>
      </c>
    </row>
    <row r="38" spans="3:16" ht="22.8" x14ac:dyDescent="0.2">
      <c r="C38" s="145"/>
      <c r="D38" s="146" t="s">
        <v>203</v>
      </c>
      <c r="E38" s="137">
        <v>34516</v>
      </c>
      <c r="F38" s="138" t="str">
        <f t="shared" si="0"/>
        <v>Date check - OK</v>
      </c>
      <c r="H38" s="147" t="s">
        <v>190</v>
      </c>
      <c r="I38" s="148">
        <v>2304.2068742359793</v>
      </c>
      <c r="J38" s="141">
        <f>IF(OR(M38="metres",M38="pipe"),INDEX('Scheme cost allocation'!$D$21:$D$42,MATCH(IF(MONTH(E38)&lt;7,YEAR(E38),YEAR(E38)+1),'Scheme cost allocation'!$C$21:$C$42,0))*'Scheme cost allocation'!$J$21,'Scheme cost allocation'!$J$21)</f>
        <v>0.45855079888177602</v>
      </c>
      <c r="L38" s="148">
        <v>32.404077927599999</v>
      </c>
      <c r="M38" s="149" t="s">
        <v>191</v>
      </c>
      <c r="N38" s="148">
        <v>429.06517328691268</v>
      </c>
      <c r="O38" s="143">
        <f t="shared" si="1"/>
        <v>13903.461311208317</v>
      </c>
      <c r="P38" s="144">
        <f t="shared" si="2"/>
        <v>6375.4432914764393</v>
      </c>
    </row>
    <row r="39" spans="3:16" x14ac:dyDescent="0.2">
      <c r="C39" s="145"/>
      <c r="D39" s="146" t="s">
        <v>195</v>
      </c>
      <c r="E39" s="137">
        <v>34516</v>
      </c>
      <c r="F39" s="138" t="str">
        <f t="shared" si="0"/>
        <v>Date check - OK</v>
      </c>
      <c r="H39" s="147" t="s">
        <v>190</v>
      </c>
      <c r="I39" s="148">
        <v>2304.2068742359793</v>
      </c>
      <c r="J39" s="141">
        <f>IF(OR(M39="metres",M39="pipe"),INDEX('Scheme cost allocation'!$D$21:$D$42,MATCH(IF(MONTH(E39)&lt;7,YEAR(E39),YEAR(E39)+1),'Scheme cost allocation'!$C$21:$C$42,0))*'Scheme cost allocation'!$J$21,'Scheme cost allocation'!$J$21)</f>
        <v>0.45855079888177602</v>
      </c>
      <c r="L39" s="148">
        <v>89.665227765899999</v>
      </c>
      <c r="M39" s="149" t="s">
        <v>191</v>
      </c>
      <c r="N39" s="148">
        <v>4346.9768907523503</v>
      </c>
      <c r="O39" s="143">
        <f t="shared" si="1"/>
        <v>389772.6730024133</v>
      </c>
      <c r="P39" s="144">
        <f t="shared" si="2"/>
        <v>178730.57058754188</v>
      </c>
    </row>
    <row r="40" spans="3:16" x14ac:dyDescent="0.2">
      <c r="C40" s="145"/>
      <c r="D40" s="146" t="s">
        <v>195</v>
      </c>
      <c r="E40" s="137">
        <v>34516</v>
      </c>
      <c r="F40" s="138" t="str">
        <f t="shared" si="0"/>
        <v>Date check - OK</v>
      </c>
      <c r="H40" s="147" t="s">
        <v>190</v>
      </c>
      <c r="I40" s="148">
        <v>2304.2068742359793</v>
      </c>
      <c r="J40" s="141">
        <f>IF(OR(M40="metres",M40="pipe"),INDEX('Scheme cost allocation'!$D$21:$D$42,MATCH(IF(MONTH(E40)&lt;7,YEAR(E40),YEAR(E40)+1),'Scheme cost allocation'!$C$21:$C$42,0))*'Scheme cost allocation'!$J$21,'Scheme cost allocation'!$J$21)</f>
        <v>0.45855079888177602</v>
      </c>
      <c r="L40" s="148">
        <v>14.5074554971</v>
      </c>
      <c r="M40" s="149" t="s">
        <v>191</v>
      </c>
      <c r="N40" s="148">
        <v>4346.9768907523503</v>
      </c>
      <c r="O40" s="143">
        <f t="shared" si="1"/>
        <v>63063.573789511851</v>
      </c>
      <c r="P40" s="144">
        <f t="shared" si="2"/>
        <v>28917.852141520492</v>
      </c>
    </row>
    <row r="41" spans="3:16" x14ac:dyDescent="0.2">
      <c r="C41" s="145"/>
      <c r="D41" s="146" t="s">
        <v>195</v>
      </c>
      <c r="E41" s="137">
        <v>34516</v>
      </c>
      <c r="F41" s="138" t="str">
        <f t="shared" si="0"/>
        <v>Date check - OK</v>
      </c>
      <c r="H41" s="147" t="s">
        <v>190</v>
      </c>
      <c r="I41" s="148">
        <v>2304.2068742359793</v>
      </c>
      <c r="J41" s="141">
        <f>IF(OR(M41="metres",M41="pipe"),INDEX('Scheme cost allocation'!$D$21:$D$42,MATCH(IF(MONTH(E41)&lt;7,YEAR(E41),YEAR(E41)+1),'Scheme cost allocation'!$C$21:$C$42,0))*'Scheme cost allocation'!$J$21,'Scheme cost allocation'!$J$21)</f>
        <v>0.45855079888177602</v>
      </c>
      <c r="L41" s="148">
        <v>49.7121506676</v>
      </c>
      <c r="M41" s="149" t="s">
        <v>191</v>
      </c>
      <c r="N41" s="148">
        <v>4346.9768907523503</v>
      </c>
      <c r="O41" s="143">
        <f t="shared" si="1"/>
        <v>216097.57014165621</v>
      </c>
      <c r="P41" s="144">
        <f t="shared" si="2"/>
        <v>99091.713424867077</v>
      </c>
    </row>
    <row r="42" spans="3:16" x14ac:dyDescent="0.2">
      <c r="C42" s="145"/>
      <c r="D42" s="146" t="s">
        <v>195</v>
      </c>
      <c r="E42" s="137">
        <v>34516</v>
      </c>
      <c r="F42" s="138" t="str">
        <f t="shared" si="0"/>
        <v>Date check - OK</v>
      </c>
      <c r="H42" s="147" t="s">
        <v>190</v>
      </c>
      <c r="I42" s="148">
        <v>2304.2068742359793</v>
      </c>
      <c r="J42" s="141">
        <f>IF(OR(M42="metres",M42="pipe"),INDEX('Scheme cost allocation'!$D$21:$D$42,MATCH(IF(MONTH(E42)&lt;7,YEAR(E42),YEAR(E42)+1),'Scheme cost allocation'!$C$21:$C$42,0))*'Scheme cost allocation'!$J$21,'Scheme cost allocation'!$J$21)</f>
        <v>0.45855079888177602</v>
      </c>
      <c r="L42" s="148">
        <v>8.1734419932200009</v>
      </c>
      <c r="M42" s="149" t="s">
        <v>191</v>
      </c>
      <c r="N42" s="148">
        <v>4346.9768907523503</v>
      </c>
      <c r="O42" s="143">
        <f t="shared" si="1"/>
        <v>35529.763462432173</v>
      </c>
      <c r="P42" s="144">
        <f t="shared" si="2"/>
        <v>16292.201419778808</v>
      </c>
    </row>
    <row r="43" spans="3:16" x14ac:dyDescent="0.2">
      <c r="C43" s="145"/>
      <c r="D43" s="146" t="s">
        <v>195</v>
      </c>
      <c r="E43" s="137">
        <v>34516</v>
      </c>
      <c r="F43" s="138" t="str">
        <f t="shared" si="0"/>
        <v>Date check - OK</v>
      </c>
      <c r="H43" s="147" t="s">
        <v>190</v>
      </c>
      <c r="I43" s="148">
        <v>2304.2068742359793</v>
      </c>
      <c r="J43" s="141">
        <f>IF(OR(M43="metres",M43="pipe"),INDEX('Scheme cost allocation'!$D$21:$D$42,MATCH(IF(MONTH(E43)&lt;7,YEAR(E43),YEAR(E43)+1),'Scheme cost allocation'!$C$21:$C$42,0))*'Scheme cost allocation'!$J$21,'Scheme cost allocation'!$J$21)</f>
        <v>0.45855079888177602</v>
      </c>
      <c r="L43" s="148">
        <v>28.7753801886</v>
      </c>
      <c r="M43" s="149" t="s">
        <v>191</v>
      </c>
      <c r="N43" s="148">
        <v>4346.9768907523503</v>
      </c>
      <c r="O43" s="143">
        <f t="shared" si="1"/>
        <v>125085.91270245721</v>
      </c>
      <c r="P43" s="144">
        <f t="shared" si="2"/>
        <v>57358.245198567849</v>
      </c>
    </row>
    <row r="44" spans="3:16" x14ac:dyDescent="0.2">
      <c r="C44" s="145"/>
      <c r="D44" s="146" t="s">
        <v>195</v>
      </c>
      <c r="E44" s="137">
        <v>34516</v>
      </c>
      <c r="F44" s="138" t="str">
        <f t="shared" si="0"/>
        <v>Date check - OK</v>
      </c>
      <c r="H44" s="147" t="s">
        <v>190</v>
      </c>
      <c r="I44" s="148">
        <v>2304.2068742359793</v>
      </c>
      <c r="J44" s="141">
        <f>IF(OR(M44="metres",M44="pipe"),INDEX('Scheme cost allocation'!$D$21:$D$42,MATCH(IF(MONTH(E44)&lt;7,YEAR(E44),YEAR(E44)+1),'Scheme cost allocation'!$C$21:$C$42,0))*'Scheme cost allocation'!$J$21,'Scheme cost allocation'!$J$21)</f>
        <v>0.45855079888177602</v>
      </c>
      <c r="L44" s="148">
        <v>45.5790664341</v>
      </c>
      <c r="M44" s="149" t="s">
        <v>191</v>
      </c>
      <c r="N44" s="148">
        <v>4346.9768907523494</v>
      </c>
      <c r="O44" s="143">
        <f t="shared" si="1"/>
        <v>198131.14849109878</v>
      </c>
      <c r="P44" s="144">
        <f t="shared" si="2"/>
        <v>90853.196423957139</v>
      </c>
    </row>
    <row r="45" spans="3:16" x14ac:dyDescent="0.2">
      <c r="C45" s="145"/>
      <c r="D45" s="146" t="s">
        <v>195</v>
      </c>
      <c r="E45" s="137">
        <v>34516</v>
      </c>
      <c r="F45" s="138" t="str">
        <f t="shared" si="0"/>
        <v>Date check - OK</v>
      </c>
      <c r="H45" s="147" t="s">
        <v>190</v>
      </c>
      <c r="I45" s="148">
        <v>2304.2068742359793</v>
      </c>
      <c r="J45" s="141">
        <f>IF(OR(M45="metres",M45="pipe"),INDEX('Scheme cost allocation'!$D$21:$D$42,MATCH(IF(MONTH(E45)&lt;7,YEAR(E45),YEAR(E45)+1),'Scheme cost allocation'!$C$21:$C$42,0))*'Scheme cost allocation'!$J$21,'Scheme cost allocation'!$J$21)</f>
        <v>0.45855079888177602</v>
      </c>
      <c r="L45" s="148">
        <v>50.792307458899998</v>
      </c>
      <c r="M45" s="149" t="s">
        <v>191</v>
      </c>
      <c r="N45" s="148">
        <v>4346.9768907523503</v>
      </c>
      <c r="O45" s="143">
        <f t="shared" si="1"/>
        <v>220792.98675182654</v>
      </c>
      <c r="P45" s="144">
        <f t="shared" si="2"/>
        <v>101244.80046254346</v>
      </c>
    </row>
    <row r="46" spans="3:16" x14ac:dyDescent="0.2">
      <c r="C46" s="145"/>
      <c r="D46" s="146" t="s">
        <v>205</v>
      </c>
      <c r="E46" s="137">
        <v>34516</v>
      </c>
      <c r="F46" s="138" t="str">
        <f t="shared" si="0"/>
        <v>Date check - OK</v>
      </c>
      <c r="H46" s="147" t="s">
        <v>190</v>
      </c>
      <c r="I46" s="148">
        <v>2304.2068742359793</v>
      </c>
      <c r="J46" s="141">
        <f>IF(OR(M46="metres",M46="pipe"),INDEX('Scheme cost allocation'!$D$21:$D$42,MATCH(IF(MONTH(E46)&lt;7,YEAR(E46),YEAR(E46)+1),'Scheme cost allocation'!$C$21:$C$42,0))*'Scheme cost allocation'!$J$21,'Scheme cost allocation'!$J$21)</f>
        <v>0.45855079888177602</v>
      </c>
      <c r="L46" s="148">
        <v>26.666156172200001</v>
      </c>
      <c r="M46" s="149" t="s">
        <v>191</v>
      </c>
      <c r="N46" s="148">
        <v>7585.6734690377334</v>
      </c>
      <c r="O46" s="143">
        <f t="shared" si="1"/>
        <v>202280.75339667435</v>
      </c>
      <c r="P46" s="144">
        <f t="shared" si="2"/>
        <v>92756.001068452548</v>
      </c>
    </row>
    <row r="47" spans="3:16" x14ac:dyDescent="0.2">
      <c r="C47" s="145"/>
      <c r="D47" s="146" t="s">
        <v>195</v>
      </c>
      <c r="E47" s="137">
        <v>34516</v>
      </c>
      <c r="F47" s="138" t="str">
        <f t="shared" si="0"/>
        <v>Date check - OK</v>
      </c>
      <c r="H47" s="147" t="s">
        <v>190</v>
      </c>
      <c r="I47" s="148">
        <v>2304.2068742359793</v>
      </c>
      <c r="J47" s="141">
        <f>IF(OR(M47="metres",M47="pipe"),INDEX('Scheme cost allocation'!$D$21:$D$42,MATCH(IF(MONTH(E47)&lt;7,YEAR(E47),YEAR(E47)+1),'Scheme cost allocation'!$C$21:$C$42,0))*'Scheme cost allocation'!$J$21,'Scheme cost allocation'!$J$21)</f>
        <v>0.45855079888177602</v>
      </c>
      <c r="L47" s="148">
        <v>101.75582941499999</v>
      </c>
      <c r="M47" s="149" t="s">
        <v>191</v>
      </c>
      <c r="N47" s="148">
        <v>4346.9768907523503</v>
      </c>
      <c r="O47" s="143">
        <f t="shared" si="1"/>
        <v>442330.23896634323</v>
      </c>
      <c r="P47" s="144">
        <f t="shared" si="2"/>
        <v>202830.88444758358</v>
      </c>
    </row>
    <row r="48" spans="3:16" x14ac:dyDescent="0.2">
      <c r="C48" s="145"/>
      <c r="D48" s="146" t="s">
        <v>195</v>
      </c>
      <c r="E48" s="137">
        <v>34516</v>
      </c>
      <c r="F48" s="138" t="str">
        <f t="shared" si="0"/>
        <v>Date check - OK</v>
      </c>
      <c r="H48" s="147" t="s">
        <v>190</v>
      </c>
      <c r="I48" s="148">
        <v>2304.2068742359793</v>
      </c>
      <c r="J48" s="141">
        <f>IF(OR(M48="metres",M48="pipe"),INDEX('Scheme cost allocation'!$D$21:$D$42,MATCH(IF(MONTH(E48)&lt;7,YEAR(E48),YEAR(E48)+1),'Scheme cost allocation'!$C$21:$C$42,0))*'Scheme cost allocation'!$J$21,'Scheme cost allocation'!$J$21)</f>
        <v>0.45855079888177602</v>
      </c>
      <c r="L48" s="148">
        <v>5.9081950712499998</v>
      </c>
      <c r="M48" s="149" t="s">
        <v>191</v>
      </c>
      <c r="N48" s="148">
        <v>4346.9768907523503</v>
      </c>
      <c r="O48" s="143">
        <f t="shared" si="1"/>
        <v>25682.787440780685</v>
      </c>
      <c r="P48" s="144">
        <f t="shared" si="2"/>
        <v>11776.862698480827</v>
      </c>
    </row>
    <row r="49" spans="3:16" x14ac:dyDescent="0.2">
      <c r="C49" s="145"/>
      <c r="D49" s="146" t="s">
        <v>195</v>
      </c>
      <c r="E49" s="137">
        <v>34516</v>
      </c>
      <c r="F49" s="138" t="str">
        <f t="shared" si="0"/>
        <v>Date check - OK</v>
      </c>
      <c r="H49" s="147" t="s">
        <v>190</v>
      </c>
      <c r="I49" s="148">
        <v>2304.2068742359793</v>
      </c>
      <c r="J49" s="141">
        <f>IF(OR(M49="metres",M49="pipe"),INDEX('Scheme cost allocation'!$D$21:$D$42,MATCH(IF(MONTH(E49)&lt;7,YEAR(E49),YEAR(E49)+1),'Scheme cost allocation'!$C$21:$C$42,0))*'Scheme cost allocation'!$J$21,'Scheme cost allocation'!$J$21)</f>
        <v>0.45855079888177602</v>
      </c>
      <c r="L49" s="148">
        <v>49.6439660785</v>
      </c>
      <c r="M49" s="149" t="s">
        <v>191</v>
      </c>
      <c r="N49" s="148">
        <v>4346.9768907523503</v>
      </c>
      <c r="O49" s="143">
        <f t="shared" si="1"/>
        <v>215801.17330853309</v>
      </c>
      <c r="P49" s="144">
        <f t="shared" si="2"/>
        <v>98955.800420252446</v>
      </c>
    </row>
    <row r="50" spans="3:16" x14ac:dyDescent="0.2">
      <c r="C50" s="145"/>
      <c r="D50" s="146" t="s">
        <v>205</v>
      </c>
      <c r="E50" s="137">
        <v>34516</v>
      </c>
      <c r="F50" s="138" t="str">
        <f t="shared" si="0"/>
        <v>Date check - OK</v>
      </c>
      <c r="H50" s="147" t="s">
        <v>190</v>
      </c>
      <c r="I50" s="148">
        <v>2304.2068742359793</v>
      </c>
      <c r="J50" s="141">
        <f>IF(OR(M50="metres",M50="pipe"),INDEX('Scheme cost allocation'!$D$21:$D$42,MATCH(IF(MONTH(E50)&lt;7,YEAR(E50),YEAR(E50)+1),'Scheme cost allocation'!$C$21:$C$42,0))*'Scheme cost allocation'!$J$21,'Scheme cost allocation'!$J$21)</f>
        <v>0.45855079888177602</v>
      </c>
      <c r="L50" s="148">
        <v>56.035448512499997</v>
      </c>
      <c r="M50" s="149" t="s">
        <v>191</v>
      </c>
      <c r="N50" s="148">
        <v>7585.6734690377334</v>
      </c>
      <c r="O50" s="143">
        <f t="shared" si="1"/>
        <v>425066.61510690115</v>
      </c>
      <c r="P50" s="144">
        <f t="shared" si="2"/>
        <v>194914.63593524194</v>
      </c>
    </row>
    <row r="51" spans="3:16" x14ac:dyDescent="0.2">
      <c r="C51" s="145"/>
      <c r="D51" s="146" t="s">
        <v>195</v>
      </c>
      <c r="E51" s="137">
        <v>34516</v>
      </c>
      <c r="F51" s="138" t="str">
        <f t="shared" si="0"/>
        <v>Date check - OK</v>
      </c>
      <c r="H51" s="147" t="s">
        <v>190</v>
      </c>
      <c r="I51" s="148">
        <v>2304.2068742359793</v>
      </c>
      <c r="J51" s="141">
        <f>IF(OR(M51="metres",M51="pipe"),INDEX('Scheme cost allocation'!$D$21:$D$42,MATCH(IF(MONTH(E51)&lt;7,YEAR(E51),YEAR(E51)+1),'Scheme cost allocation'!$C$21:$C$42,0))*'Scheme cost allocation'!$J$21,'Scheme cost allocation'!$J$21)</f>
        <v>0.45855079888177602</v>
      </c>
      <c r="L51" s="148">
        <v>99.4348487906</v>
      </c>
      <c r="M51" s="149" t="s">
        <v>191</v>
      </c>
      <c r="N51" s="148">
        <v>4346.9768907523503</v>
      </c>
      <c r="O51" s="143">
        <f t="shared" si="1"/>
        <v>432240.98982819251</v>
      </c>
      <c r="P51" s="144">
        <f t="shared" si="2"/>
        <v>198204.45119516729</v>
      </c>
    </row>
    <row r="52" spans="3:16" x14ac:dyDescent="0.2">
      <c r="C52" s="145"/>
      <c r="D52" s="146" t="s">
        <v>195</v>
      </c>
      <c r="E52" s="137">
        <v>34516</v>
      </c>
      <c r="F52" s="138" t="str">
        <f t="shared" si="0"/>
        <v>Date check - OK</v>
      </c>
      <c r="H52" s="147" t="s">
        <v>190</v>
      </c>
      <c r="I52" s="148">
        <v>2304.2068742359793</v>
      </c>
      <c r="J52" s="141">
        <f>IF(OR(M52="metres",M52="pipe"),INDEX('Scheme cost allocation'!$D$21:$D$42,MATCH(IF(MONTH(E52)&lt;7,YEAR(E52),YEAR(E52)+1),'Scheme cost allocation'!$C$21:$C$42,0))*'Scheme cost allocation'!$J$21,'Scheme cost allocation'!$J$21)</f>
        <v>0.45855079888177602</v>
      </c>
      <c r="L52" s="148">
        <v>28.166568836100002</v>
      </c>
      <c r="M52" s="149" t="s">
        <v>191</v>
      </c>
      <c r="N52" s="148">
        <v>4346.9768907523503</v>
      </c>
      <c r="O52" s="143">
        <f t="shared" si="1"/>
        <v>122439.42382231203</v>
      </c>
      <c r="P52" s="144">
        <f t="shared" si="2"/>
        <v>56144.695608345544</v>
      </c>
    </row>
    <row r="53" spans="3:16" x14ac:dyDescent="0.2">
      <c r="C53" s="145"/>
      <c r="D53" s="146" t="s">
        <v>195</v>
      </c>
      <c r="E53" s="137">
        <v>34516</v>
      </c>
      <c r="F53" s="138" t="str">
        <f t="shared" si="0"/>
        <v>Date check - OK</v>
      </c>
      <c r="H53" s="147" t="s">
        <v>190</v>
      </c>
      <c r="I53" s="148">
        <v>2304.2068742359793</v>
      </c>
      <c r="J53" s="141">
        <f>IF(OR(M53="metres",M53="pipe"),INDEX('Scheme cost allocation'!$D$21:$D$42,MATCH(IF(MONTH(E53)&lt;7,YEAR(E53),YEAR(E53)+1),'Scheme cost allocation'!$C$21:$C$42,0))*'Scheme cost allocation'!$J$21,'Scheme cost allocation'!$J$21)</f>
        <v>0.45855079888177602</v>
      </c>
      <c r="L53" s="148">
        <v>28.7735106652</v>
      </c>
      <c r="M53" s="149" t="s">
        <v>191</v>
      </c>
      <c r="N53" s="148">
        <v>4346.9768907523503</v>
      </c>
      <c r="O53" s="143">
        <f t="shared" si="1"/>
        <v>125077.78592744068</v>
      </c>
      <c r="P53" s="144">
        <f t="shared" si="2"/>
        <v>57354.518659391688</v>
      </c>
    </row>
    <row r="54" spans="3:16" x14ac:dyDescent="0.2">
      <c r="C54" s="145"/>
      <c r="D54" s="146" t="s">
        <v>205</v>
      </c>
      <c r="E54" s="137">
        <v>34516</v>
      </c>
      <c r="F54" s="138" t="str">
        <f t="shared" si="0"/>
        <v>Date check - OK</v>
      </c>
      <c r="H54" s="147" t="s">
        <v>190</v>
      </c>
      <c r="I54" s="148">
        <v>2304.2068742359793</v>
      </c>
      <c r="J54" s="141">
        <f>IF(OR(M54="metres",M54="pipe"),INDEX('Scheme cost allocation'!$D$21:$D$42,MATCH(IF(MONTH(E54)&lt;7,YEAR(E54),YEAR(E54)+1),'Scheme cost allocation'!$C$21:$C$42,0))*'Scheme cost allocation'!$J$21,'Scheme cost allocation'!$J$21)</f>
        <v>0.45855079888177602</v>
      </c>
      <c r="L54" s="148">
        <v>55.453101344399997</v>
      </c>
      <c r="M54" s="149" t="s">
        <v>191</v>
      </c>
      <c r="N54" s="148">
        <v>7585.6734690377343</v>
      </c>
      <c r="O54" s="143">
        <f t="shared" si="1"/>
        <v>420649.11964407575</v>
      </c>
      <c r="P54" s="144">
        <f t="shared" si="2"/>
        <v>192888.98986170671</v>
      </c>
    </row>
    <row r="55" spans="3:16" x14ac:dyDescent="0.2">
      <c r="C55" s="145"/>
      <c r="D55" s="146" t="s">
        <v>195</v>
      </c>
      <c r="E55" s="137">
        <v>34516</v>
      </c>
      <c r="F55" s="138" t="str">
        <f t="shared" si="0"/>
        <v>Date check - OK</v>
      </c>
      <c r="H55" s="147" t="s">
        <v>190</v>
      </c>
      <c r="I55" s="148">
        <v>2304.2068742359793</v>
      </c>
      <c r="J55" s="141">
        <f>IF(OR(M55="metres",M55="pipe"),INDEX('Scheme cost allocation'!$D$21:$D$42,MATCH(IF(MONTH(E55)&lt;7,YEAR(E55),YEAR(E55)+1),'Scheme cost allocation'!$C$21:$C$42,0))*'Scheme cost allocation'!$J$21,'Scheme cost allocation'!$J$21)</f>
        <v>0.45855079888177602</v>
      </c>
      <c r="L55" s="148">
        <v>99.422384360899997</v>
      </c>
      <c r="M55" s="149" t="s">
        <v>191</v>
      </c>
      <c r="N55" s="148">
        <v>4346.9768907523503</v>
      </c>
      <c r="O55" s="143">
        <f t="shared" si="1"/>
        <v>432186.80724033015</v>
      </c>
      <c r="P55" s="144">
        <f t="shared" si="2"/>
        <v>198179.60572621753</v>
      </c>
    </row>
    <row r="56" spans="3:16" x14ac:dyDescent="0.2">
      <c r="C56" s="145"/>
      <c r="D56" s="146" t="s">
        <v>195</v>
      </c>
      <c r="E56" s="137">
        <v>34516</v>
      </c>
      <c r="F56" s="138" t="str">
        <f t="shared" si="0"/>
        <v>Date check - OK</v>
      </c>
      <c r="H56" s="147" t="s">
        <v>190</v>
      </c>
      <c r="I56" s="148">
        <v>2304.2068742359793</v>
      </c>
      <c r="J56" s="141">
        <f>IF(OR(M56="metres",M56="pipe"),INDEX('Scheme cost allocation'!$D$21:$D$42,MATCH(IF(MONTH(E56)&lt;7,YEAR(E56),YEAR(E56)+1),'Scheme cost allocation'!$C$21:$C$42,0))*'Scheme cost allocation'!$J$21,'Scheme cost allocation'!$J$21)</f>
        <v>0.45855079888177602</v>
      </c>
      <c r="L56" s="148">
        <v>23.710514671799999</v>
      </c>
      <c r="M56" s="149" t="s">
        <v>191</v>
      </c>
      <c r="N56" s="148">
        <v>4346.9768907523503</v>
      </c>
      <c r="O56" s="143">
        <f t="shared" si="1"/>
        <v>103069.05934615913</v>
      </c>
      <c r="P56" s="144">
        <f t="shared" si="2"/>
        <v>47262.399503174456</v>
      </c>
    </row>
    <row r="57" spans="3:16" x14ac:dyDescent="0.2">
      <c r="C57" s="145"/>
      <c r="D57" s="146" t="s">
        <v>195</v>
      </c>
      <c r="E57" s="137">
        <v>34516</v>
      </c>
      <c r="F57" s="138" t="str">
        <f t="shared" si="0"/>
        <v>Date check - OK</v>
      </c>
      <c r="H57" s="147" t="s">
        <v>190</v>
      </c>
      <c r="I57" s="148">
        <v>2304.2068742359793</v>
      </c>
      <c r="J57" s="141">
        <f>IF(OR(M57="metres",M57="pipe"),INDEX('Scheme cost allocation'!$D$21:$D$42,MATCH(IF(MONTH(E57)&lt;7,YEAR(E57),YEAR(E57)+1),'Scheme cost allocation'!$C$21:$C$42,0))*'Scheme cost allocation'!$J$21,'Scheme cost allocation'!$J$21)</f>
        <v>0.45855079888177602</v>
      </c>
      <c r="L57" s="148">
        <v>22.559980008899998</v>
      </c>
      <c r="M57" s="149" t="s">
        <v>191</v>
      </c>
      <c r="N57" s="148">
        <v>4346.9768907523503</v>
      </c>
      <c r="O57" s="143">
        <f t="shared" si="1"/>
        <v>98067.71175452329</v>
      </c>
      <c r="P57" s="144">
        <f t="shared" si="2"/>
        <v>44969.027569544392</v>
      </c>
    </row>
    <row r="58" spans="3:16" x14ac:dyDescent="0.2">
      <c r="C58" s="145"/>
      <c r="D58" s="146" t="s">
        <v>205</v>
      </c>
      <c r="E58" s="137">
        <v>34516</v>
      </c>
      <c r="F58" s="138" t="str">
        <f t="shared" si="0"/>
        <v>Date check - OK</v>
      </c>
      <c r="H58" s="147" t="s">
        <v>190</v>
      </c>
      <c r="I58" s="148">
        <v>2304.2068742359793</v>
      </c>
      <c r="J58" s="141">
        <f>IF(OR(M58="metres",M58="pipe"),INDEX('Scheme cost allocation'!$D$21:$D$42,MATCH(IF(MONTH(E58)&lt;7,YEAR(E58),YEAR(E58)+1),'Scheme cost allocation'!$C$21:$C$42,0))*'Scheme cost allocation'!$J$21,'Scheme cost allocation'!$J$21)</f>
        <v>0.45855079888177602</v>
      </c>
      <c r="L58" s="148">
        <v>54.800415912299997</v>
      </c>
      <c r="M58" s="149" t="s">
        <v>191</v>
      </c>
      <c r="N58" s="148">
        <v>7585.6734690377334</v>
      </c>
      <c r="O58" s="143">
        <f t="shared" si="1"/>
        <v>415698.06107816735</v>
      </c>
      <c r="P58" s="144">
        <f t="shared" si="2"/>
        <v>190618.67800099897</v>
      </c>
    </row>
    <row r="59" spans="3:16" x14ac:dyDescent="0.2">
      <c r="C59" s="145"/>
      <c r="D59" s="146" t="s">
        <v>195</v>
      </c>
      <c r="E59" s="137">
        <v>34516</v>
      </c>
      <c r="F59" s="138" t="str">
        <f t="shared" si="0"/>
        <v>Date check - OK</v>
      </c>
      <c r="H59" s="147" t="s">
        <v>190</v>
      </c>
      <c r="I59" s="148">
        <v>2304.2068742359793</v>
      </c>
      <c r="J59" s="141">
        <f>IF(OR(M59="metres",M59="pipe"),INDEX('Scheme cost allocation'!$D$21:$D$42,MATCH(IF(MONTH(E59)&lt;7,YEAR(E59),YEAR(E59)+1),'Scheme cost allocation'!$C$21:$C$42,0))*'Scheme cost allocation'!$J$21,'Scheme cost allocation'!$J$21)</f>
        <v>0.45855079888177602</v>
      </c>
      <c r="L59" s="148">
        <v>40.861386031800002</v>
      </c>
      <c r="M59" s="149" t="s">
        <v>191</v>
      </c>
      <c r="N59" s="148">
        <v>4346.9768907523503</v>
      </c>
      <c r="O59" s="143">
        <f t="shared" si="1"/>
        <v>177623.5008043455</v>
      </c>
      <c r="P59" s="144">
        <f t="shared" si="2"/>
        <v>81449.398194010413</v>
      </c>
    </row>
    <row r="60" spans="3:16" x14ac:dyDescent="0.2">
      <c r="C60" s="145"/>
      <c r="D60" s="146" t="s">
        <v>195</v>
      </c>
      <c r="E60" s="137">
        <v>34516</v>
      </c>
      <c r="F60" s="138" t="str">
        <f t="shared" si="0"/>
        <v>Date check - OK</v>
      </c>
      <c r="H60" s="147" t="s">
        <v>190</v>
      </c>
      <c r="I60" s="148">
        <v>2304.2068742359793</v>
      </c>
      <c r="J60" s="141">
        <f>IF(OR(M60="metres",M60="pipe"),INDEX('Scheme cost allocation'!$D$21:$D$42,MATCH(IF(MONTH(E60)&lt;7,YEAR(E60),YEAR(E60)+1),'Scheme cost allocation'!$C$21:$C$42,0))*'Scheme cost allocation'!$J$21,'Scheme cost allocation'!$J$21)</f>
        <v>0.45855079888177602</v>
      </c>
      <c r="L60" s="148">
        <v>30.0001894661</v>
      </c>
      <c r="M60" s="149" t="s">
        <v>191</v>
      </c>
      <c r="N60" s="148">
        <v>4346.9768907523503</v>
      </c>
      <c r="O60" s="143">
        <f t="shared" si="1"/>
        <v>130410.13032732879</v>
      </c>
      <c r="P60" s="144">
        <f t="shared" si="2"/>
        <v>59799.669443873143</v>
      </c>
    </row>
    <row r="61" spans="3:16" ht="22.8" x14ac:dyDescent="0.2">
      <c r="C61" s="145"/>
      <c r="D61" s="146" t="s">
        <v>206</v>
      </c>
      <c r="E61" s="137">
        <v>34516</v>
      </c>
      <c r="F61" s="138" t="str">
        <f t="shared" si="0"/>
        <v>Date check - OK</v>
      </c>
      <c r="H61" s="147" t="s">
        <v>190</v>
      </c>
      <c r="I61" s="148">
        <v>2304.2068742359793</v>
      </c>
      <c r="J61" s="141">
        <f>IF(OR(M61="metres",M61="pipe"),INDEX('Scheme cost allocation'!$D$21:$D$42,MATCH(IF(MONTH(E61)&lt;7,YEAR(E61),YEAR(E61)+1),'Scheme cost allocation'!$C$21:$C$42,0))*'Scheme cost allocation'!$J$21,'Scheme cost allocation'!$J$21)</f>
        <v>0.45855079888177602</v>
      </c>
      <c r="L61" s="148">
        <v>20.3845379212</v>
      </c>
      <c r="M61" s="149" t="s">
        <v>191</v>
      </c>
      <c r="N61" s="148">
        <v>12640.012639217795</v>
      </c>
      <c r="O61" s="143">
        <f t="shared" si="1"/>
        <v>257660.81696858245</v>
      </c>
      <c r="P61" s="144">
        <f t="shared" si="2"/>
        <v>118150.57346147456</v>
      </c>
    </row>
    <row r="62" spans="3:16" x14ac:dyDescent="0.2">
      <c r="C62" s="145"/>
      <c r="D62" s="146" t="s">
        <v>205</v>
      </c>
      <c r="E62" s="137">
        <v>34516</v>
      </c>
      <c r="F62" s="138" t="str">
        <f t="shared" si="0"/>
        <v>Date check - OK</v>
      </c>
      <c r="H62" s="147" t="s">
        <v>190</v>
      </c>
      <c r="I62" s="148">
        <v>2304.2068742359793</v>
      </c>
      <c r="J62" s="141">
        <f>IF(OR(M62="metres",M62="pipe"),INDEX('Scheme cost allocation'!$D$21:$D$42,MATCH(IF(MONTH(E62)&lt;7,YEAR(E62),YEAR(E62)+1),'Scheme cost allocation'!$C$21:$C$42,0))*'Scheme cost allocation'!$J$21,'Scheme cost allocation'!$J$21)</f>
        <v>0.45855079888177602</v>
      </c>
      <c r="L62" s="148">
        <v>54.870822866099999</v>
      </c>
      <c r="M62" s="149" t="s">
        <v>191</v>
      </c>
      <c r="N62" s="148">
        <v>7585.6734690377334</v>
      </c>
      <c r="O62" s="143">
        <f t="shared" si="1"/>
        <v>416232.14523964375</v>
      </c>
      <c r="P62" s="144">
        <f t="shared" si="2"/>
        <v>190863.58271991406</v>
      </c>
    </row>
    <row r="63" spans="3:16" x14ac:dyDescent="0.2">
      <c r="C63" s="145"/>
      <c r="D63" s="146" t="s">
        <v>195</v>
      </c>
      <c r="E63" s="137">
        <v>34516</v>
      </c>
      <c r="F63" s="138" t="str">
        <f t="shared" si="0"/>
        <v>Date check - OK</v>
      </c>
      <c r="H63" s="147" t="s">
        <v>190</v>
      </c>
      <c r="I63" s="148">
        <v>2304.2068742359793</v>
      </c>
      <c r="J63" s="141">
        <f>IF(OR(M63="metres",M63="pipe"),INDEX('Scheme cost allocation'!$D$21:$D$42,MATCH(IF(MONTH(E63)&lt;7,YEAR(E63),YEAR(E63)+1),'Scheme cost allocation'!$C$21:$C$42,0))*'Scheme cost allocation'!$J$21,'Scheme cost allocation'!$J$21)</f>
        <v>0.45855079888177602</v>
      </c>
      <c r="L63" s="148">
        <v>89.429277225099995</v>
      </c>
      <c r="M63" s="149" t="s">
        <v>191</v>
      </c>
      <c r="N63" s="148">
        <v>4346.9768907523503</v>
      </c>
      <c r="O63" s="143">
        <f t="shared" si="1"/>
        <v>388747.00145419512</v>
      </c>
      <c r="P63" s="144">
        <f t="shared" si="2"/>
        <v>178260.24807971611</v>
      </c>
    </row>
    <row r="64" spans="3:16" x14ac:dyDescent="0.2">
      <c r="C64" s="145"/>
      <c r="D64" s="146" t="s">
        <v>195</v>
      </c>
      <c r="E64" s="137">
        <v>34516</v>
      </c>
      <c r="F64" s="138" t="str">
        <f t="shared" si="0"/>
        <v>Date check - OK</v>
      </c>
      <c r="H64" s="147" t="s">
        <v>190</v>
      </c>
      <c r="I64" s="148">
        <v>2304.2068742359793</v>
      </c>
      <c r="J64" s="141">
        <f>IF(OR(M64="metres",M64="pipe"),INDEX('Scheme cost allocation'!$D$21:$D$42,MATCH(IF(MONTH(E64)&lt;7,YEAR(E64),YEAR(E64)+1),'Scheme cost allocation'!$C$21:$C$42,0))*'Scheme cost allocation'!$J$21,'Scheme cost allocation'!$J$21)</f>
        <v>0.45855079888177602</v>
      </c>
      <c r="L64" s="148">
        <v>16.000049312400002</v>
      </c>
      <c r="M64" s="149" t="s">
        <v>191</v>
      </c>
      <c r="N64" s="148">
        <v>4346.9768907523503</v>
      </c>
      <c r="O64" s="143">
        <f t="shared" si="1"/>
        <v>69551.844611900844</v>
      </c>
      <c r="P64" s="144">
        <f t="shared" si="2"/>
        <v>31893.053910488281</v>
      </c>
    </row>
    <row r="65" spans="3:16" x14ac:dyDescent="0.2">
      <c r="C65" s="145"/>
      <c r="D65" s="146" t="s">
        <v>195</v>
      </c>
      <c r="E65" s="137">
        <v>34516</v>
      </c>
      <c r="F65" s="138" t="str">
        <f t="shared" si="0"/>
        <v>Date check - OK</v>
      </c>
      <c r="H65" s="147" t="s">
        <v>190</v>
      </c>
      <c r="I65" s="148">
        <v>2304.2068742359793</v>
      </c>
      <c r="J65" s="141">
        <f>IF(OR(M65="metres",M65="pipe"),INDEX('Scheme cost allocation'!$D$21:$D$42,MATCH(IF(MONTH(E65)&lt;7,YEAR(E65),YEAR(E65)+1),'Scheme cost allocation'!$C$21:$C$42,0))*'Scheme cost allocation'!$J$21,'Scheme cost allocation'!$J$21)</f>
        <v>0.45855079888177602</v>
      </c>
      <c r="L65" s="148">
        <v>10.819336439900001</v>
      </c>
      <c r="M65" s="149" t="s">
        <v>191</v>
      </c>
      <c r="N65" s="148">
        <v>4346.9768907523503</v>
      </c>
      <c r="O65" s="143">
        <f t="shared" si="1"/>
        <v>47031.405477520108</v>
      </c>
      <c r="P65" s="144">
        <f t="shared" si="2"/>
        <v>21566.288554249582</v>
      </c>
    </row>
    <row r="66" spans="3:16" x14ac:dyDescent="0.2">
      <c r="C66" s="145"/>
      <c r="D66" s="146" t="s">
        <v>205</v>
      </c>
      <c r="E66" s="137">
        <v>34516</v>
      </c>
      <c r="F66" s="138" t="str">
        <f t="shared" si="0"/>
        <v>Date check - OK</v>
      </c>
      <c r="H66" s="147" t="s">
        <v>190</v>
      </c>
      <c r="I66" s="148">
        <v>2304.2068742359793</v>
      </c>
      <c r="J66" s="141">
        <f>IF(OR(M66="metres",M66="pipe"),INDEX('Scheme cost allocation'!$D$21:$D$42,MATCH(IF(MONTH(E66)&lt;7,YEAR(E66),YEAR(E66)+1),'Scheme cost allocation'!$C$21:$C$42,0))*'Scheme cost allocation'!$J$21,'Scheme cost allocation'!$J$21)</f>
        <v>0.45855079888177602</v>
      </c>
      <c r="L66" s="148">
        <v>46.127193247999998</v>
      </c>
      <c r="M66" s="149" t="s">
        <v>191</v>
      </c>
      <c r="N66" s="148">
        <v>7585.6734690377325</v>
      </c>
      <c r="O66" s="143">
        <f t="shared" si="1"/>
        <v>349905.82602253003</v>
      </c>
      <c r="P66" s="144">
        <f t="shared" si="2"/>
        <v>160449.59605601887</v>
      </c>
    </row>
    <row r="67" spans="3:16" x14ac:dyDescent="0.2">
      <c r="C67" s="145"/>
      <c r="D67" s="146" t="s">
        <v>195</v>
      </c>
      <c r="E67" s="137">
        <v>34516</v>
      </c>
      <c r="F67" s="138" t="str">
        <f t="shared" si="0"/>
        <v>Date check - OK</v>
      </c>
      <c r="H67" s="147" t="s">
        <v>190</v>
      </c>
      <c r="I67" s="148">
        <v>2304.2068742359793</v>
      </c>
      <c r="J67" s="141">
        <f>IF(OR(M67="metres",M67="pipe"),INDEX('Scheme cost allocation'!$D$21:$D$42,MATCH(IF(MONTH(E67)&lt;7,YEAR(E67),YEAR(E67)+1),'Scheme cost allocation'!$C$21:$C$42,0))*'Scheme cost allocation'!$J$21,'Scheme cost allocation'!$J$21)</f>
        <v>0.45855079888177602</v>
      </c>
      <c r="L67" s="148">
        <v>89.401188638600004</v>
      </c>
      <c r="M67" s="149" t="s">
        <v>191</v>
      </c>
      <c r="N67" s="148">
        <v>4346.9768907523503</v>
      </c>
      <c r="O67" s="143">
        <f t="shared" si="1"/>
        <v>388624.90101778577</v>
      </c>
      <c r="P67" s="144">
        <f t="shared" si="2"/>
        <v>178204.25882705679</v>
      </c>
    </row>
    <row r="68" spans="3:16" x14ac:dyDescent="0.2">
      <c r="C68" s="145"/>
      <c r="D68" s="146" t="s">
        <v>195</v>
      </c>
      <c r="E68" s="137">
        <v>34516</v>
      </c>
      <c r="F68" s="138" t="str">
        <f t="shared" si="0"/>
        <v>Date check - OK</v>
      </c>
      <c r="H68" s="147" t="s">
        <v>190</v>
      </c>
      <c r="I68" s="148">
        <v>2304.2068742359793</v>
      </c>
      <c r="J68" s="141">
        <f>IF(OR(M68="metres",M68="pipe"),INDEX('Scheme cost allocation'!$D$21:$D$42,MATCH(IF(MONTH(E68)&lt;7,YEAR(E68),YEAR(E68)+1),'Scheme cost allocation'!$C$21:$C$42,0))*'Scheme cost allocation'!$J$21,'Scheme cost allocation'!$J$21)</f>
        <v>0.45855079888177602</v>
      </c>
      <c r="L68" s="148">
        <v>45.710391400600002</v>
      </c>
      <c r="M68" s="149" t="s">
        <v>191</v>
      </c>
      <c r="N68" s="148">
        <v>4346.9768907523503</v>
      </c>
      <c r="O68" s="143">
        <f t="shared" si="1"/>
        <v>198702.01508565317</v>
      </c>
      <c r="P68" s="144">
        <f t="shared" si="2"/>
        <v>91114.96775694497</v>
      </c>
    </row>
    <row r="69" spans="3:16" x14ac:dyDescent="0.2">
      <c r="C69" s="145"/>
      <c r="D69" s="146" t="s">
        <v>195</v>
      </c>
      <c r="E69" s="137">
        <v>34516</v>
      </c>
      <c r="F69" s="138" t="str">
        <f t="shared" si="0"/>
        <v>Date check - OK</v>
      </c>
      <c r="H69" s="147" t="s">
        <v>190</v>
      </c>
      <c r="I69" s="148">
        <v>2304.2068742359793</v>
      </c>
      <c r="J69" s="141">
        <f>IF(OR(M69="metres",M69="pipe"),INDEX('Scheme cost allocation'!$D$21:$D$42,MATCH(IF(MONTH(E69)&lt;7,YEAR(E69),YEAR(E69)+1),'Scheme cost allocation'!$C$21:$C$42,0))*'Scheme cost allocation'!$J$21,'Scheme cost allocation'!$J$21)</f>
        <v>0.45855079888177602</v>
      </c>
      <c r="L69" s="148">
        <v>19.955886975999999</v>
      </c>
      <c r="M69" s="149" t="s">
        <v>191</v>
      </c>
      <c r="N69" s="148">
        <v>4346.9768907523503</v>
      </c>
      <c r="O69" s="143">
        <f t="shared" si="1"/>
        <v>86747.779519137795</v>
      </c>
      <c r="P69" s="144">
        <f t="shared" si="2"/>
        <v>39778.263599720805</v>
      </c>
    </row>
    <row r="70" spans="3:16" x14ac:dyDescent="0.2">
      <c r="C70" s="145"/>
      <c r="D70" s="146" t="s">
        <v>205</v>
      </c>
      <c r="E70" s="137">
        <v>34516</v>
      </c>
      <c r="F70" s="138" t="str">
        <f t="shared" si="0"/>
        <v>Date check - OK</v>
      </c>
      <c r="H70" s="147" t="s">
        <v>190</v>
      </c>
      <c r="I70" s="148">
        <v>2304.2068742359793</v>
      </c>
      <c r="J70" s="141">
        <f>IF(OR(M70="metres",M70="pipe"),INDEX('Scheme cost allocation'!$D$21:$D$42,MATCH(IF(MONTH(E70)&lt;7,YEAR(E70),YEAR(E70)+1),'Scheme cost allocation'!$C$21:$C$42,0))*'Scheme cost allocation'!$J$21,'Scheme cost allocation'!$J$21)</f>
        <v>0.45855079888177602</v>
      </c>
      <c r="L70" s="148">
        <v>17.094499054900002</v>
      </c>
      <c r="M70" s="149" t="s">
        <v>191</v>
      </c>
      <c r="N70" s="148">
        <v>7585.6734690377334</v>
      </c>
      <c r="O70" s="143">
        <f t="shared" si="1"/>
        <v>129673.28794724555</v>
      </c>
      <c r="P70" s="144">
        <f t="shared" si="2"/>
        <v>59461.789781836029</v>
      </c>
    </row>
    <row r="71" spans="3:16" x14ac:dyDescent="0.2">
      <c r="C71" s="145"/>
      <c r="D71" s="146" t="s">
        <v>195</v>
      </c>
      <c r="E71" s="137">
        <v>34516</v>
      </c>
      <c r="F71" s="138" t="str">
        <f t="shared" si="0"/>
        <v>Date check - OK</v>
      </c>
      <c r="H71" s="147" t="s">
        <v>190</v>
      </c>
      <c r="I71" s="148">
        <v>2304.2068742359793</v>
      </c>
      <c r="J71" s="141">
        <f>IF(OR(M71="metres",M71="pipe"),INDEX('Scheme cost allocation'!$D$21:$D$42,MATCH(IF(MONTH(E71)&lt;7,YEAR(E71),YEAR(E71)+1),'Scheme cost allocation'!$C$21:$C$42,0))*'Scheme cost allocation'!$J$21,'Scheme cost allocation'!$J$21)</f>
        <v>0.45855079888177602</v>
      </c>
      <c r="L71" s="148">
        <v>66.665706903900002</v>
      </c>
      <c r="M71" s="149" t="s">
        <v>191</v>
      </c>
      <c r="N71" s="148">
        <v>4346.9768907523503</v>
      </c>
      <c r="O71" s="143">
        <f t="shared" si="1"/>
        <v>289794.28731692274</v>
      </c>
      <c r="P71" s="144">
        <f t="shared" si="2"/>
        <v>132885.40196054985</v>
      </c>
    </row>
    <row r="72" spans="3:16" x14ac:dyDescent="0.2">
      <c r="C72" s="145"/>
      <c r="D72" s="146" t="s">
        <v>195</v>
      </c>
      <c r="E72" s="137">
        <v>34516</v>
      </c>
      <c r="F72" s="138" t="str">
        <f t="shared" si="0"/>
        <v>Date check - OK</v>
      </c>
      <c r="H72" s="147" t="s">
        <v>190</v>
      </c>
      <c r="I72" s="148">
        <v>2304.2068742359793</v>
      </c>
      <c r="J72" s="141">
        <f>IF(OR(M72="metres",M72="pipe"),INDEX('Scheme cost allocation'!$D$21:$D$42,MATCH(IF(MONTH(E72)&lt;7,YEAR(E72),YEAR(E72)+1),'Scheme cost allocation'!$C$21:$C$42,0))*'Scheme cost allocation'!$J$21,'Scheme cost allocation'!$J$21)</f>
        <v>0.45855079888177602</v>
      </c>
      <c r="L72" s="148">
        <v>44.320226826999999</v>
      </c>
      <c r="M72" s="149" t="s">
        <v>191</v>
      </c>
      <c r="N72" s="148">
        <v>4346.9768907523503</v>
      </c>
      <c r="O72" s="143">
        <f t="shared" si="1"/>
        <v>192659.00180987135</v>
      </c>
      <c r="P72" s="144">
        <f t="shared" si="2"/>
        <v>88343.939191682046</v>
      </c>
    </row>
    <row r="73" spans="3:16" x14ac:dyDescent="0.2">
      <c r="C73" s="145"/>
      <c r="D73" s="146" t="s">
        <v>205</v>
      </c>
      <c r="E73" s="137">
        <v>34516</v>
      </c>
      <c r="F73" s="138" t="str">
        <f t="shared" si="0"/>
        <v>Date check - OK</v>
      </c>
      <c r="H73" s="147" t="s">
        <v>190</v>
      </c>
      <c r="I73" s="148">
        <v>2304.2068742359793</v>
      </c>
      <c r="J73" s="141">
        <f>IF(OR(M73="metres",M73="pipe"),INDEX('Scheme cost allocation'!$D$21:$D$42,MATCH(IF(MONTH(E73)&lt;7,YEAR(E73),YEAR(E73)+1),'Scheme cost allocation'!$C$21:$C$42,0))*'Scheme cost allocation'!$J$21,'Scheme cost allocation'!$J$21)</f>
        <v>0.45855079888177602</v>
      </c>
      <c r="L73" s="148">
        <v>49.634868882699998</v>
      </c>
      <c r="M73" s="149" t="s">
        <v>191</v>
      </c>
      <c r="N73" s="148">
        <v>7585.6734690377343</v>
      </c>
      <c r="O73" s="143">
        <f t="shared" si="1"/>
        <v>376513.90802266396</v>
      </c>
      <c r="P73" s="144">
        <f t="shared" si="2"/>
        <v>172650.75331389208</v>
      </c>
    </row>
    <row r="74" spans="3:16" ht="22.8" x14ac:dyDescent="0.2">
      <c r="C74" s="145"/>
      <c r="D74" s="146" t="s">
        <v>206</v>
      </c>
      <c r="E74" s="137">
        <v>34516</v>
      </c>
      <c r="F74" s="138" t="str">
        <f t="shared" si="0"/>
        <v>Date check - OK</v>
      </c>
      <c r="H74" s="147" t="s">
        <v>190</v>
      </c>
      <c r="I74" s="148">
        <v>2304.2068742359793</v>
      </c>
      <c r="J74" s="141">
        <f>IF(OR(M74="metres",M74="pipe"),INDEX('Scheme cost allocation'!$D$21:$D$42,MATCH(IF(MONTH(E74)&lt;7,YEAR(E74),YEAR(E74)+1),'Scheme cost allocation'!$C$21:$C$42,0))*'Scheme cost allocation'!$J$21,'Scheme cost allocation'!$J$21)</f>
        <v>0.45855079888177602</v>
      </c>
      <c r="L74" s="148">
        <v>101.76182756</v>
      </c>
      <c r="M74" s="149" t="s">
        <v>191</v>
      </c>
      <c r="N74" s="148">
        <v>12640.012639217795</v>
      </c>
      <c r="O74" s="143">
        <f t="shared" si="1"/>
        <v>1286270.7865483018</v>
      </c>
      <c r="P74" s="144">
        <f t="shared" si="2"/>
        <v>589820.49675001425</v>
      </c>
    </row>
    <row r="75" spans="3:16" x14ac:dyDescent="0.2">
      <c r="C75" s="145"/>
      <c r="D75" s="146" t="s">
        <v>195</v>
      </c>
      <c r="E75" s="137">
        <v>34516</v>
      </c>
      <c r="F75" s="138" t="str">
        <f t="shared" si="0"/>
        <v>Date check - OK</v>
      </c>
      <c r="H75" s="147" t="s">
        <v>190</v>
      </c>
      <c r="I75" s="148">
        <v>2304.2068742359793</v>
      </c>
      <c r="J75" s="141">
        <f>IF(OR(M75="metres",M75="pipe"),INDEX('Scheme cost allocation'!$D$21:$D$42,MATCH(IF(MONTH(E75)&lt;7,YEAR(E75),YEAR(E75)+1),'Scheme cost allocation'!$C$21:$C$42,0))*'Scheme cost allocation'!$J$21,'Scheme cost allocation'!$J$21)</f>
        <v>0.45855079888177602</v>
      </c>
      <c r="L75" s="148">
        <v>36.687007577599999</v>
      </c>
      <c r="M75" s="149" t="s">
        <v>191</v>
      </c>
      <c r="N75" s="148">
        <v>4346.9768907523503</v>
      </c>
      <c r="O75" s="143">
        <f t="shared" si="1"/>
        <v>159477.57413068356</v>
      </c>
      <c r="P75" s="144">
        <f t="shared" si="2"/>
        <v>73128.569021352596</v>
      </c>
    </row>
    <row r="76" spans="3:16" x14ac:dyDescent="0.2">
      <c r="C76" s="145"/>
      <c r="D76" s="146" t="s">
        <v>207</v>
      </c>
      <c r="E76" s="137">
        <v>34516</v>
      </c>
      <c r="F76" s="138" t="str">
        <f t="shared" si="0"/>
        <v>Date check - OK</v>
      </c>
      <c r="H76" s="147" t="s">
        <v>190</v>
      </c>
      <c r="I76" s="148">
        <v>2304.2068742359793</v>
      </c>
      <c r="J76" s="141">
        <f>IF(OR(M76="metres",M76="pipe"),INDEX('Scheme cost allocation'!$D$21:$D$42,MATCH(IF(MONTH(E76)&lt;7,YEAR(E76),YEAR(E76)+1),'Scheme cost allocation'!$C$21:$C$42,0))*'Scheme cost allocation'!$J$21,'Scheme cost allocation'!$J$21)</f>
        <v>0.45855079888177602</v>
      </c>
      <c r="L76" s="148">
        <v>73.651085728599995</v>
      </c>
      <c r="M76" s="149" t="s">
        <v>191</v>
      </c>
      <c r="N76" s="148">
        <v>5786.58166135593</v>
      </c>
      <c r="O76" s="143">
        <f t="shared" si="1"/>
        <v>426188.0220160702</v>
      </c>
      <c r="P76" s="144">
        <f t="shared" si="2"/>
        <v>195428.85796931293</v>
      </c>
    </row>
    <row r="77" spans="3:16" x14ac:dyDescent="0.2">
      <c r="C77" s="145"/>
      <c r="D77" s="146" t="s">
        <v>195</v>
      </c>
      <c r="E77" s="137">
        <v>34516</v>
      </c>
      <c r="F77" s="138" t="str">
        <f t="shared" si="0"/>
        <v>Date check - OK</v>
      </c>
      <c r="H77" s="147" t="s">
        <v>190</v>
      </c>
      <c r="I77" s="148">
        <v>2304.2068742359793</v>
      </c>
      <c r="J77" s="141">
        <f>IF(OR(M77="metres",M77="pipe"),INDEX('Scheme cost allocation'!$D$21:$D$42,MATCH(IF(MONTH(E77)&lt;7,YEAR(E77),YEAR(E77)+1),'Scheme cost allocation'!$C$21:$C$42,0))*'Scheme cost allocation'!$J$21,'Scheme cost allocation'!$J$21)</f>
        <v>0.45855079888177602</v>
      </c>
      <c r="L77" s="148">
        <v>78.976738752599999</v>
      </c>
      <c r="M77" s="149" t="s">
        <v>191</v>
      </c>
      <c r="N77" s="148">
        <v>4346.9768907523503</v>
      </c>
      <c r="O77" s="143">
        <f t="shared" si="1"/>
        <v>343310.05826453777</v>
      </c>
      <c r="P77" s="144">
        <f t="shared" si="2"/>
        <v>157425.10148135287</v>
      </c>
    </row>
    <row r="78" spans="3:16" x14ac:dyDescent="0.2">
      <c r="C78" s="145"/>
      <c r="D78" s="146" t="s">
        <v>195</v>
      </c>
      <c r="E78" s="137">
        <v>34516</v>
      </c>
      <c r="F78" s="138" t="str">
        <f t="shared" si="0"/>
        <v>Date check - OK</v>
      </c>
      <c r="H78" s="147" t="s">
        <v>190</v>
      </c>
      <c r="I78" s="148">
        <v>2304.2068742359793</v>
      </c>
      <c r="J78" s="141">
        <f>IF(OR(M78="metres",M78="pipe"),INDEX('Scheme cost allocation'!$D$21:$D$42,MATCH(IF(MONTH(E78)&lt;7,YEAR(E78),YEAR(E78)+1),'Scheme cost allocation'!$C$21:$C$42,0))*'Scheme cost allocation'!$J$21,'Scheme cost allocation'!$J$21)</f>
        <v>0.45855079888177602</v>
      </c>
      <c r="L78" s="148">
        <v>36.690143962699999</v>
      </c>
      <c r="M78" s="149" t="s">
        <v>191</v>
      </c>
      <c r="N78" s="148">
        <v>4346.9768907523503</v>
      </c>
      <c r="O78" s="143">
        <f t="shared" si="1"/>
        <v>159491.20792423375</v>
      </c>
      <c r="P78" s="144">
        <f t="shared" si="2"/>
        <v>73134.820808276825</v>
      </c>
    </row>
    <row r="79" spans="3:16" x14ac:dyDescent="0.2">
      <c r="C79" s="145"/>
      <c r="D79" s="146" t="s">
        <v>208</v>
      </c>
      <c r="E79" s="137">
        <v>34516</v>
      </c>
      <c r="F79" s="138" t="str">
        <f t="shared" si="0"/>
        <v>Date check - OK</v>
      </c>
      <c r="H79" s="147" t="s">
        <v>190</v>
      </c>
      <c r="I79" s="148">
        <v>2304.2068742359793</v>
      </c>
      <c r="J79" s="141">
        <f>IF(OR(M79="metres",M79="pipe"),INDEX('Scheme cost allocation'!$D$21:$D$42,MATCH(IF(MONTH(E79)&lt;7,YEAR(E79),YEAR(E79)+1),'Scheme cost allocation'!$C$21:$C$42,0))*'Scheme cost allocation'!$J$21,'Scheme cost allocation'!$J$21)</f>
        <v>0.45855079888177602</v>
      </c>
      <c r="L79" s="148">
        <v>38.884713898900003</v>
      </c>
      <c r="M79" s="149" t="s">
        <v>191</v>
      </c>
      <c r="N79" s="148">
        <v>1060.2382660371586</v>
      </c>
      <c r="O79" s="143">
        <f t="shared" si="1"/>
        <v>41227.06163952074</v>
      </c>
      <c r="P79" s="144">
        <f t="shared" si="2"/>
        <v>18904.702050350457</v>
      </c>
    </row>
    <row r="80" spans="3:16" x14ac:dyDescent="0.2">
      <c r="C80" s="145"/>
      <c r="D80" s="146" t="s">
        <v>207</v>
      </c>
      <c r="E80" s="137">
        <v>34516</v>
      </c>
      <c r="F80" s="138" t="str">
        <f t="shared" si="0"/>
        <v>Date check - OK</v>
      </c>
      <c r="H80" s="147" t="s">
        <v>190</v>
      </c>
      <c r="I80" s="148">
        <v>2304.2068742359793</v>
      </c>
      <c r="J80" s="141">
        <f>IF(OR(M80="metres",M80="pipe"),INDEX('Scheme cost allocation'!$D$21:$D$42,MATCH(IF(MONTH(E80)&lt;7,YEAR(E80),YEAR(E80)+1),'Scheme cost allocation'!$C$21:$C$42,0))*'Scheme cost allocation'!$J$21,'Scheme cost allocation'!$J$21)</f>
        <v>0.45855079888177602</v>
      </c>
      <c r="L80" s="148">
        <v>74.422050305699997</v>
      </c>
      <c r="M80" s="149" t="s">
        <v>191</v>
      </c>
      <c r="N80" s="148">
        <v>5786.5816613559291</v>
      </c>
      <c r="O80" s="143">
        <f t="shared" si="1"/>
        <v>430649.27149947203</v>
      </c>
      <c r="P80" s="144">
        <f t="shared" si="2"/>
        <v>197474.56748393775</v>
      </c>
    </row>
    <row r="81" spans="3:16" x14ac:dyDescent="0.2">
      <c r="C81" s="145"/>
      <c r="D81" s="146" t="s">
        <v>195</v>
      </c>
      <c r="E81" s="137">
        <v>34516</v>
      </c>
      <c r="F81" s="138" t="str">
        <f t="shared" si="0"/>
        <v>Date check - OK</v>
      </c>
      <c r="H81" s="147" t="s">
        <v>190</v>
      </c>
      <c r="I81" s="148">
        <v>2304.2068742359793</v>
      </c>
      <c r="J81" s="141">
        <f>IF(OR(M81="metres",M81="pipe"),INDEX('Scheme cost allocation'!$D$21:$D$42,MATCH(IF(MONTH(E81)&lt;7,YEAR(E81),YEAR(E81)+1),'Scheme cost allocation'!$C$21:$C$42,0))*'Scheme cost allocation'!$J$21,'Scheme cost allocation'!$J$21)</f>
        <v>0.45855079888177602</v>
      </c>
      <c r="L81" s="148">
        <v>99.643398456699998</v>
      </c>
      <c r="M81" s="149" t="s">
        <v>191</v>
      </c>
      <c r="N81" s="148">
        <v>4346.9768907523503</v>
      </c>
      <c r="O81" s="143">
        <f t="shared" si="1"/>
        <v>433147.55040730332</v>
      </c>
      <c r="P81" s="144">
        <f t="shared" si="2"/>
        <v>198620.1552729533</v>
      </c>
    </row>
    <row r="82" spans="3:16" x14ac:dyDescent="0.2">
      <c r="C82" s="145"/>
      <c r="D82" s="146" t="s">
        <v>195</v>
      </c>
      <c r="E82" s="137">
        <v>34516</v>
      </c>
      <c r="F82" s="138" t="str">
        <f t="shared" si="0"/>
        <v>Date check - OK</v>
      </c>
      <c r="H82" s="147" t="s">
        <v>190</v>
      </c>
      <c r="I82" s="148">
        <v>2304.2068742359793</v>
      </c>
      <c r="J82" s="141">
        <f>IF(OR(M82="metres",M82="pipe"),INDEX('Scheme cost allocation'!$D$21:$D$42,MATCH(IF(MONTH(E82)&lt;7,YEAR(E82),YEAR(E82)+1),'Scheme cost allocation'!$C$21:$C$42,0))*'Scheme cost allocation'!$J$21,'Scheme cost allocation'!$J$21)</f>
        <v>0.45855079888177602</v>
      </c>
      <c r="L82" s="148">
        <v>13.980648411300001</v>
      </c>
      <c r="M82" s="149" t="s">
        <v>191</v>
      </c>
      <c r="N82" s="148">
        <v>4346.9768907523503</v>
      </c>
      <c r="O82" s="143">
        <f t="shared" si="1"/>
        <v>60773.555561654663</v>
      </c>
      <c r="P82" s="144">
        <f t="shared" si="2"/>
        <v>27867.762453682746</v>
      </c>
    </row>
    <row r="83" spans="3:16" x14ac:dyDescent="0.2">
      <c r="C83" s="145"/>
      <c r="D83" s="146" t="s">
        <v>208</v>
      </c>
      <c r="E83" s="137">
        <v>34516</v>
      </c>
      <c r="F83" s="138" t="str">
        <f t="shared" si="0"/>
        <v>Date check - OK</v>
      </c>
      <c r="H83" s="147" t="s">
        <v>190</v>
      </c>
      <c r="I83" s="148">
        <v>2304.2068742359793</v>
      </c>
      <c r="J83" s="141">
        <f>IF(OR(M83="metres",M83="pipe"),INDEX('Scheme cost allocation'!$D$21:$D$42,MATCH(IF(MONTH(E83)&lt;7,YEAR(E83),YEAR(E83)+1),'Scheme cost allocation'!$C$21:$C$42,0))*'Scheme cost allocation'!$J$21,'Scheme cost allocation'!$J$21)</f>
        <v>0.45855079888177602</v>
      </c>
      <c r="L83" s="148">
        <v>40.1237895796</v>
      </c>
      <c r="M83" s="149" t="s">
        <v>191</v>
      </c>
      <c r="N83" s="148">
        <v>1060.2382660371586</v>
      </c>
      <c r="O83" s="143">
        <f t="shared" si="1"/>
        <v>42540.777090714917</v>
      </c>
      <c r="P83" s="144">
        <f t="shared" si="2"/>
        <v>19507.107319998882</v>
      </c>
    </row>
    <row r="84" spans="3:16" ht="22.8" x14ac:dyDescent="0.2">
      <c r="C84" s="145"/>
      <c r="D84" s="146" t="s">
        <v>209</v>
      </c>
      <c r="E84" s="137">
        <v>34516</v>
      </c>
      <c r="F84" s="138" t="str">
        <f t="shared" si="0"/>
        <v>Date check - OK</v>
      </c>
      <c r="H84" s="147" t="s">
        <v>190</v>
      </c>
      <c r="I84" s="148">
        <v>2304.2068742359793</v>
      </c>
      <c r="J84" s="141">
        <f>IF(OR(M84="metres",M84="pipe"),INDEX('Scheme cost allocation'!$D$21:$D$42,MATCH(IF(MONTH(E84)&lt;7,YEAR(E84),YEAR(E84)+1),'Scheme cost allocation'!$C$21:$C$42,0))*'Scheme cost allocation'!$J$21,'Scheme cost allocation'!$J$21)</f>
        <v>0.45855079888177602</v>
      </c>
      <c r="L84" s="148">
        <v>44.410470980500001</v>
      </c>
      <c r="M84" s="149" t="s">
        <v>191</v>
      </c>
      <c r="N84" s="148">
        <v>7073.1635225148184</v>
      </c>
      <c r="O84" s="143">
        <f t="shared" si="1"/>
        <v>314122.52335697552</v>
      </c>
      <c r="P84" s="144">
        <f t="shared" si="2"/>
        <v>144041.13403210047</v>
      </c>
    </row>
    <row r="85" spans="3:16" x14ac:dyDescent="0.2">
      <c r="C85" s="145"/>
      <c r="D85" s="146" t="s">
        <v>195</v>
      </c>
      <c r="E85" s="137">
        <v>34516</v>
      </c>
      <c r="F85" s="138" t="str">
        <f t="shared" si="0"/>
        <v>Date check - OK</v>
      </c>
      <c r="H85" s="147" t="s">
        <v>190</v>
      </c>
      <c r="I85" s="148">
        <v>2304.2068742359793</v>
      </c>
      <c r="J85" s="141">
        <f>IF(OR(M85="metres",M85="pipe"),INDEX('Scheme cost allocation'!$D$21:$D$42,MATCH(IF(MONTH(E85)&lt;7,YEAR(E85),YEAR(E85)+1),'Scheme cost allocation'!$C$21:$C$42,0))*'Scheme cost allocation'!$J$21,'Scheme cost allocation'!$J$21)</f>
        <v>0.45855079888177602</v>
      </c>
      <c r="L85" s="148">
        <v>4.1930869296999997</v>
      </c>
      <c r="M85" s="149" t="s">
        <v>191</v>
      </c>
      <c r="N85" s="148">
        <v>4346.9768907523494</v>
      </c>
      <c r="O85" s="143">
        <f t="shared" si="1"/>
        <v>18227.251984321621</v>
      </c>
      <c r="P85" s="144">
        <f t="shared" si="2"/>
        <v>8358.1209588301172</v>
      </c>
    </row>
    <row r="86" spans="3:16" x14ac:dyDescent="0.2">
      <c r="C86" s="145"/>
      <c r="D86" s="146" t="s">
        <v>195</v>
      </c>
      <c r="E86" s="137">
        <v>34516</v>
      </c>
      <c r="F86" s="138" t="str">
        <f t="shared" si="0"/>
        <v>Date check - OK</v>
      </c>
      <c r="H86" s="147" t="s">
        <v>190</v>
      </c>
      <c r="I86" s="148">
        <v>2304.2068742359793</v>
      </c>
      <c r="J86" s="141">
        <f>IF(OR(M86="metres",M86="pipe"),INDEX('Scheme cost allocation'!$D$21:$D$42,MATCH(IF(MONTH(E86)&lt;7,YEAR(E86),YEAR(E86)+1),'Scheme cost allocation'!$C$21:$C$42,0))*'Scheme cost allocation'!$J$21,'Scheme cost allocation'!$J$21)</f>
        <v>0.45855079888177602</v>
      </c>
      <c r="L86" s="148">
        <v>48.992566670899997</v>
      </c>
      <c r="M86" s="149" t="s">
        <v>191</v>
      </c>
      <c r="N86" s="148">
        <v>4346.9768907523503</v>
      </c>
      <c r="O86" s="143">
        <f t="shared" si="1"/>
        <v>212969.55513704609</v>
      </c>
      <c r="P86" s="144">
        <f t="shared" si="2"/>
        <v>97657.359645588935</v>
      </c>
    </row>
    <row r="87" spans="3:16" x14ac:dyDescent="0.2">
      <c r="C87" s="145"/>
      <c r="D87" s="146" t="s">
        <v>195</v>
      </c>
      <c r="E87" s="137">
        <v>34516</v>
      </c>
      <c r="F87" s="138" t="str">
        <f t="shared" ref="F87:F242" si="3">IF(E87="","-",IF(OR(E87&lt;$E$15,E87&gt;$E$16),"ERROR - date outside of range","Date check - OK"))</f>
        <v>Date check - OK</v>
      </c>
      <c r="H87" s="147" t="s">
        <v>190</v>
      </c>
      <c r="I87" s="148">
        <v>2304.2068742359793</v>
      </c>
      <c r="J87" s="141">
        <f>IF(OR(M87="metres",M87="pipe"),INDEX('Scheme cost allocation'!$D$21:$D$42,MATCH(IF(MONTH(E87)&lt;7,YEAR(E87),YEAR(E87)+1),'Scheme cost allocation'!$C$21:$C$42,0))*'Scheme cost allocation'!$J$21,'Scheme cost allocation'!$J$21)</f>
        <v>0.45855079888177602</v>
      </c>
      <c r="L87" s="148">
        <v>12.9903849599</v>
      </c>
      <c r="M87" s="149" t="s">
        <v>191</v>
      </c>
      <c r="N87" s="148">
        <v>4346.9768907523503</v>
      </c>
      <c r="O87" s="143">
        <f t="shared" ref="O87:O150" si="4">IF(N87="","-",L87*N87)</f>
        <v>56468.9032226622</v>
      </c>
      <c r="P87" s="144">
        <f t="shared" ref="P87:P242" si="5">IF(O87="-","-",IF(OR(E87&lt;$E$15,E87&gt;$E$16),0,O87*J87))</f>
        <v>25893.860684729447</v>
      </c>
    </row>
    <row r="88" spans="3:16" x14ac:dyDescent="0.2">
      <c r="C88" s="145"/>
      <c r="D88" s="146" t="s">
        <v>205</v>
      </c>
      <c r="E88" s="137">
        <v>34516</v>
      </c>
      <c r="F88" s="138" t="str">
        <f t="shared" si="3"/>
        <v>Date check - OK</v>
      </c>
      <c r="H88" s="147" t="s">
        <v>190</v>
      </c>
      <c r="I88" s="148">
        <v>2304.2068742359793</v>
      </c>
      <c r="J88" s="141">
        <f>IF(OR(M88="metres",M88="pipe"),INDEX('Scheme cost allocation'!$D$21:$D$42,MATCH(IF(MONTH(E88)&lt;7,YEAR(E88),YEAR(E88)+1),'Scheme cost allocation'!$C$21:$C$42,0))*'Scheme cost allocation'!$J$21,'Scheme cost allocation'!$J$21)</f>
        <v>0.45855079888177602</v>
      </c>
      <c r="L88" s="148">
        <v>13.796558447700001</v>
      </c>
      <c r="M88" s="149" t="s">
        <v>191</v>
      </c>
      <c r="N88" s="148">
        <v>7585.6734690377334</v>
      </c>
      <c r="O88" s="143">
        <f t="shared" si="4"/>
        <v>104656.18738074631</v>
      </c>
      <c r="P88" s="144">
        <f t="shared" si="5"/>
        <v>47990.178331362069</v>
      </c>
    </row>
    <row r="89" spans="3:16" x14ac:dyDescent="0.2">
      <c r="C89" s="145"/>
      <c r="D89" s="146" t="s">
        <v>195</v>
      </c>
      <c r="E89" s="137">
        <v>34516</v>
      </c>
      <c r="F89" s="138" t="str">
        <f t="shared" si="3"/>
        <v>Date check - OK</v>
      </c>
      <c r="H89" s="147" t="s">
        <v>190</v>
      </c>
      <c r="I89" s="148">
        <v>2304.2068742359793</v>
      </c>
      <c r="J89" s="141">
        <f>IF(OR(M89="metres",M89="pipe"),INDEX('Scheme cost allocation'!$D$21:$D$42,MATCH(IF(MONTH(E89)&lt;7,YEAR(E89),YEAR(E89)+1),'Scheme cost allocation'!$C$21:$C$42,0))*'Scheme cost allocation'!$J$21,'Scheme cost allocation'!$J$21)</f>
        <v>0.45855079888177602</v>
      </c>
      <c r="L89" s="148">
        <v>86.019707555899998</v>
      </c>
      <c r="M89" s="149" t="s">
        <v>191</v>
      </c>
      <c r="N89" s="148">
        <v>4346.9768907523503</v>
      </c>
      <c r="O89" s="143">
        <f t="shared" si="4"/>
        <v>373925.68089477264</v>
      </c>
      <c r="P89" s="144">
        <f t="shared" si="5"/>
        <v>171463.91969671004</v>
      </c>
    </row>
    <row r="90" spans="3:16" x14ac:dyDescent="0.2">
      <c r="C90" s="145"/>
      <c r="D90" s="146" t="s">
        <v>195</v>
      </c>
      <c r="E90" s="137">
        <v>34516</v>
      </c>
      <c r="F90" s="138" t="str">
        <f t="shared" si="3"/>
        <v>Date check - OK</v>
      </c>
      <c r="H90" s="147" t="s">
        <v>190</v>
      </c>
      <c r="I90" s="148">
        <v>2304.2068742359793</v>
      </c>
      <c r="J90" s="141">
        <f>IF(OR(M90="metres",M90="pipe"),INDEX('Scheme cost allocation'!$D$21:$D$42,MATCH(IF(MONTH(E90)&lt;7,YEAR(E90),YEAR(E90)+1),'Scheme cost allocation'!$C$21:$C$42,0))*'Scheme cost allocation'!$J$21,'Scheme cost allocation'!$J$21)</f>
        <v>0.45855079888177602</v>
      </c>
      <c r="L90" s="148">
        <v>37.115728808699998</v>
      </c>
      <c r="M90" s="149" t="s">
        <v>191</v>
      </c>
      <c r="N90" s="148">
        <v>4346.9768907523503</v>
      </c>
      <c r="O90" s="143">
        <f t="shared" si="4"/>
        <v>161341.21541485016</v>
      </c>
      <c r="P90" s="144">
        <f t="shared" si="5"/>
        <v>73983.143221036255</v>
      </c>
    </row>
    <row r="91" spans="3:16" x14ac:dyDescent="0.2">
      <c r="C91" s="145"/>
      <c r="D91" s="146" t="s">
        <v>195</v>
      </c>
      <c r="E91" s="137">
        <v>34516</v>
      </c>
      <c r="F91" s="138" t="str">
        <f t="shared" si="3"/>
        <v>Date check - OK</v>
      </c>
      <c r="H91" s="147" t="s">
        <v>190</v>
      </c>
      <c r="I91" s="148">
        <v>2304.2068742359793</v>
      </c>
      <c r="J91" s="141">
        <f>IF(OR(M91="metres",M91="pipe"),INDEX('Scheme cost allocation'!$D$21:$D$42,MATCH(IF(MONTH(E91)&lt;7,YEAR(E91),YEAR(E91)+1),'Scheme cost allocation'!$C$21:$C$42,0))*'Scheme cost allocation'!$J$21,'Scheme cost allocation'!$J$21)</f>
        <v>0.45855079888177602</v>
      </c>
      <c r="L91" s="148">
        <v>13.010193062400001</v>
      </c>
      <c r="M91" s="149" t="s">
        <v>191</v>
      </c>
      <c r="N91" s="148">
        <v>4346.9768907523503</v>
      </c>
      <c r="O91" s="143">
        <f t="shared" si="4"/>
        <v>56555.008586479351</v>
      </c>
      <c r="P91" s="144">
        <f t="shared" si="5"/>
        <v>25933.344368095808</v>
      </c>
    </row>
    <row r="92" spans="3:16" x14ac:dyDescent="0.2">
      <c r="C92" s="145"/>
      <c r="D92" s="146" t="s">
        <v>205</v>
      </c>
      <c r="E92" s="137">
        <v>34516</v>
      </c>
      <c r="F92" s="138" t="str">
        <f t="shared" si="3"/>
        <v>Date check - OK</v>
      </c>
      <c r="H92" s="147" t="s">
        <v>190</v>
      </c>
      <c r="I92" s="148">
        <v>2304.2068742359793</v>
      </c>
      <c r="J92" s="141">
        <f>IF(OR(M92="metres",M92="pipe"),INDEX('Scheme cost allocation'!$D$21:$D$42,MATCH(IF(MONTH(E92)&lt;7,YEAR(E92),YEAR(E92)+1),'Scheme cost allocation'!$C$21:$C$42,0))*'Scheme cost allocation'!$J$21,'Scheme cost allocation'!$J$21)</f>
        <v>0.45855079888177602</v>
      </c>
      <c r="L92" s="148">
        <v>19.436442601500001</v>
      </c>
      <c r="M92" s="149" t="s">
        <v>191</v>
      </c>
      <c r="N92" s="148">
        <v>7585.6734690377334</v>
      </c>
      <c r="O92" s="143">
        <f t="shared" si="4"/>
        <v>147438.50697467331</v>
      </c>
      <c r="P92" s="144">
        <f t="shared" si="5"/>
        <v>67608.045159172747</v>
      </c>
    </row>
    <row r="93" spans="3:16" x14ac:dyDescent="0.2">
      <c r="C93" s="145"/>
      <c r="D93" s="146" t="s">
        <v>195</v>
      </c>
      <c r="E93" s="137">
        <v>34516</v>
      </c>
      <c r="F93" s="138" t="str">
        <f t="shared" si="3"/>
        <v>Date check - OK</v>
      </c>
      <c r="H93" s="147" t="s">
        <v>190</v>
      </c>
      <c r="I93" s="148">
        <v>2304.2068742359793</v>
      </c>
      <c r="J93" s="141">
        <f>IF(OR(M93="metres",M93="pipe"),INDEX('Scheme cost allocation'!$D$21:$D$42,MATCH(IF(MONTH(E93)&lt;7,YEAR(E93),YEAR(E93)+1),'Scheme cost allocation'!$C$21:$C$42,0))*'Scheme cost allocation'!$J$21,'Scheme cost allocation'!$J$21)</f>
        <v>0.45855079888177602</v>
      </c>
      <c r="L93" s="148">
        <v>99.134898496900007</v>
      </c>
      <c r="M93" s="149" t="s">
        <v>191</v>
      </c>
      <c r="N93" s="148">
        <v>4346.9768907523503</v>
      </c>
      <c r="O93" s="143">
        <f t="shared" si="4"/>
        <v>430937.11283310421</v>
      </c>
      <c r="P93" s="144">
        <f t="shared" si="5"/>
        <v>197606.55735742601</v>
      </c>
    </row>
    <row r="94" spans="3:16" x14ac:dyDescent="0.2">
      <c r="C94" s="145"/>
      <c r="D94" s="146" t="s">
        <v>195</v>
      </c>
      <c r="E94" s="137">
        <v>34516</v>
      </c>
      <c r="F94" s="138" t="str">
        <f t="shared" si="3"/>
        <v>Date check - OK</v>
      </c>
      <c r="H94" s="147" t="s">
        <v>190</v>
      </c>
      <c r="I94" s="148">
        <v>2304.2068742359793</v>
      </c>
      <c r="J94" s="141">
        <f>IF(OR(M94="metres",M94="pipe"),INDEX('Scheme cost allocation'!$D$21:$D$42,MATCH(IF(MONTH(E94)&lt;7,YEAR(E94),YEAR(E94)+1),'Scheme cost allocation'!$C$21:$C$42,0))*'Scheme cost allocation'!$J$21,'Scheme cost allocation'!$J$21)</f>
        <v>0.45855079888177602</v>
      </c>
      <c r="L94" s="148">
        <v>36.689806826999998</v>
      </c>
      <c r="M94" s="149" t="s">
        <v>191</v>
      </c>
      <c r="N94" s="148">
        <v>4346.9768907523512</v>
      </c>
      <c r="O94" s="143">
        <f t="shared" si="4"/>
        <v>159489.74240313683</v>
      </c>
      <c r="P94" s="144">
        <f t="shared" si="5"/>
        <v>73134.148792407068</v>
      </c>
    </row>
    <row r="95" spans="3:16" x14ac:dyDescent="0.2">
      <c r="C95" s="145"/>
      <c r="D95" s="146" t="s">
        <v>195</v>
      </c>
      <c r="E95" s="137">
        <v>34516</v>
      </c>
      <c r="F95" s="138" t="str">
        <f t="shared" si="3"/>
        <v>Date check - OK</v>
      </c>
      <c r="H95" s="147" t="s">
        <v>190</v>
      </c>
      <c r="I95" s="148">
        <v>2304.2068742359793</v>
      </c>
      <c r="J95" s="141">
        <f>IF(OR(M95="metres",M95="pipe"),INDEX('Scheme cost allocation'!$D$21:$D$42,MATCH(IF(MONTH(E95)&lt;7,YEAR(E95),YEAR(E95)+1),'Scheme cost allocation'!$C$21:$C$42,0))*'Scheme cost allocation'!$J$21,'Scheme cost allocation'!$J$21)</f>
        <v>0.45855079888177602</v>
      </c>
      <c r="L95" s="148">
        <v>49.644496834999998</v>
      </c>
      <c r="M95" s="149" t="s">
        <v>191</v>
      </c>
      <c r="N95" s="148">
        <v>4346.9768907523503</v>
      </c>
      <c r="O95" s="143">
        <f t="shared" si="4"/>
        <v>215803.48049477319</v>
      </c>
      <c r="P95" s="144">
        <f t="shared" si="5"/>
        <v>98956.858382346021</v>
      </c>
    </row>
    <row r="96" spans="3:16" x14ac:dyDescent="0.2">
      <c r="C96" s="145"/>
      <c r="D96" s="146" t="s">
        <v>195</v>
      </c>
      <c r="E96" s="137">
        <v>34516</v>
      </c>
      <c r="F96" s="138" t="str">
        <f t="shared" si="3"/>
        <v>Date check - OK</v>
      </c>
      <c r="H96" s="147" t="s">
        <v>190</v>
      </c>
      <c r="I96" s="148">
        <v>2304.2068742359793</v>
      </c>
      <c r="J96" s="141">
        <f>IF(OR(M96="metres",M96="pipe"),INDEX('Scheme cost allocation'!$D$21:$D$42,MATCH(IF(MONTH(E96)&lt;7,YEAR(E96),YEAR(E96)+1),'Scheme cost allocation'!$C$21:$C$42,0))*'Scheme cost allocation'!$J$21,'Scheme cost allocation'!$J$21)</f>
        <v>0.45855079888177602</v>
      </c>
      <c r="L96" s="148">
        <v>101.795649912</v>
      </c>
      <c r="M96" s="149" t="s">
        <v>191</v>
      </c>
      <c r="N96" s="148">
        <v>4346.9768907523503</v>
      </c>
      <c r="O96" s="143">
        <f t="shared" si="4"/>
        <v>442503.33774658054</v>
      </c>
      <c r="P96" s="144">
        <f t="shared" si="5"/>
        <v>202910.25903154686</v>
      </c>
    </row>
    <row r="97" spans="3:16" x14ac:dyDescent="0.2">
      <c r="C97" s="145"/>
      <c r="D97" s="146" t="s">
        <v>195</v>
      </c>
      <c r="E97" s="137">
        <v>34516</v>
      </c>
      <c r="F97" s="138" t="str">
        <f t="shared" si="3"/>
        <v>Date check - OK</v>
      </c>
      <c r="H97" s="147" t="s">
        <v>190</v>
      </c>
      <c r="I97" s="148">
        <v>2304.2068742359793</v>
      </c>
      <c r="J97" s="141">
        <f>IF(OR(M97="metres",M97="pipe"),INDEX('Scheme cost allocation'!$D$21:$D$42,MATCH(IF(MONTH(E97)&lt;7,YEAR(E97),YEAR(E97)+1),'Scheme cost allocation'!$C$21:$C$42,0))*'Scheme cost allocation'!$J$21,'Scheme cost allocation'!$J$21)</f>
        <v>0.45855079888177602</v>
      </c>
      <c r="L97" s="148">
        <v>32.697781591400002</v>
      </c>
      <c r="M97" s="149" t="s">
        <v>191</v>
      </c>
      <c r="N97" s="148">
        <v>4346.9768907523503</v>
      </c>
      <c r="O97" s="143">
        <f t="shared" si="4"/>
        <v>142136.50095668342</v>
      </c>
      <c r="P97" s="144">
        <f t="shared" si="5"/>
        <v>65176.806063947501</v>
      </c>
    </row>
    <row r="98" spans="3:16" x14ac:dyDescent="0.2">
      <c r="C98" s="145"/>
      <c r="D98" s="146" t="s">
        <v>195</v>
      </c>
      <c r="E98" s="137">
        <v>34516</v>
      </c>
      <c r="F98" s="138" t="str">
        <f t="shared" si="3"/>
        <v>Date check - OK</v>
      </c>
      <c r="H98" s="147" t="s">
        <v>190</v>
      </c>
      <c r="I98" s="148">
        <v>2304.2068742359793</v>
      </c>
      <c r="J98" s="141">
        <f>IF(OR(M98="metres",M98="pipe"),INDEX('Scheme cost allocation'!$D$21:$D$42,MATCH(IF(MONTH(E98)&lt;7,YEAR(E98),YEAR(E98)+1),'Scheme cost allocation'!$C$21:$C$42,0))*'Scheme cost allocation'!$J$21,'Scheme cost allocation'!$J$21)</f>
        <v>0.45855079888177602</v>
      </c>
      <c r="L98" s="148">
        <v>99.231476306700003</v>
      </c>
      <c r="M98" s="149" t="s">
        <v>191</v>
      </c>
      <c r="N98" s="148">
        <v>4346.9768907523503</v>
      </c>
      <c r="O98" s="143">
        <f t="shared" si="4"/>
        <v>431356.9343404643</v>
      </c>
      <c r="P98" s="144">
        <f t="shared" si="5"/>
        <v>197799.0668450137</v>
      </c>
    </row>
    <row r="99" spans="3:16" x14ac:dyDescent="0.2">
      <c r="C99" s="145"/>
      <c r="D99" s="146" t="s">
        <v>195</v>
      </c>
      <c r="E99" s="137">
        <v>34516</v>
      </c>
      <c r="F99" s="138" t="str">
        <f t="shared" si="3"/>
        <v>Date check - OK</v>
      </c>
      <c r="H99" s="147" t="s">
        <v>190</v>
      </c>
      <c r="I99" s="148">
        <v>2304.2068742359793</v>
      </c>
      <c r="J99" s="141">
        <f>IF(OR(M99="metres",M99="pipe"),INDEX('Scheme cost allocation'!$D$21:$D$42,MATCH(IF(MONTH(E99)&lt;7,YEAR(E99),YEAR(E99)+1),'Scheme cost allocation'!$C$21:$C$42,0))*'Scheme cost allocation'!$J$21,'Scheme cost allocation'!$J$21)</f>
        <v>0.45855079888177602</v>
      </c>
      <c r="L99" s="148">
        <v>89.365671856000006</v>
      </c>
      <c r="M99" s="149" t="s">
        <v>191</v>
      </c>
      <c r="N99" s="148">
        <v>4346.9768907523503</v>
      </c>
      <c r="O99" s="143">
        <f t="shared" si="4"/>
        <v>388470.51038458972</v>
      </c>
      <c r="P99" s="144">
        <f t="shared" si="5"/>
        <v>178133.4628788649</v>
      </c>
    </row>
    <row r="100" spans="3:16" x14ac:dyDescent="0.2">
      <c r="C100" s="145"/>
      <c r="D100" s="146" t="s">
        <v>195</v>
      </c>
      <c r="E100" s="137">
        <v>34516</v>
      </c>
      <c r="F100" s="138" t="str">
        <f t="shared" si="3"/>
        <v>Date check - OK</v>
      </c>
      <c r="H100" s="147" t="s">
        <v>190</v>
      </c>
      <c r="I100" s="148">
        <v>2304.2068742359793</v>
      </c>
      <c r="J100" s="141">
        <f>IF(OR(M100="metres",M100="pipe"),INDEX('Scheme cost allocation'!$D$21:$D$42,MATCH(IF(MONTH(E100)&lt;7,YEAR(E100),YEAR(E100)+1),'Scheme cost allocation'!$C$21:$C$42,0))*'Scheme cost allocation'!$J$21,'Scheme cost allocation'!$J$21)</f>
        <v>0.45855079888177602</v>
      </c>
      <c r="L100" s="148">
        <v>8.6128899911700003</v>
      </c>
      <c r="M100" s="149" t="s">
        <v>191</v>
      </c>
      <c r="N100" s="148">
        <v>4346.9768907523503</v>
      </c>
      <c r="O100" s="143">
        <f t="shared" si="4"/>
        <v>37440.033754208205</v>
      </c>
      <c r="P100" s="144">
        <f t="shared" si="5"/>
        <v>17168.157388152831</v>
      </c>
    </row>
    <row r="101" spans="3:16" x14ac:dyDescent="0.2">
      <c r="C101" s="145"/>
      <c r="D101" s="146" t="s">
        <v>210</v>
      </c>
      <c r="E101" s="137">
        <v>34881</v>
      </c>
      <c r="F101" s="138" t="str">
        <f t="shared" si="3"/>
        <v>Date check - OK</v>
      </c>
      <c r="H101" s="147" t="s">
        <v>190</v>
      </c>
      <c r="I101" s="148">
        <v>2304.2068742359793</v>
      </c>
      <c r="J101" s="141">
        <f>IF(OR(M101="metres",M101="pipe"),INDEX('Scheme cost allocation'!$D$21:$D$42,MATCH(IF(MONTH(E101)&lt;7,YEAR(E101),YEAR(E101)+1),'Scheme cost allocation'!$C$21:$C$42,0))*'Scheme cost allocation'!$J$21,'Scheme cost allocation'!$J$21)</f>
        <v>0.13039018586456833</v>
      </c>
      <c r="L101" s="148">
        <v>51.216049261899997</v>
      </c>
      <c r="M101" s="149" t="s">
        <v>191</v>
      </c>
      <c r="N101" s="148">
        <v>1760.9894949960933</v>
      </c>
      <c r="O101" s="143">
        <f t="shared" si="4"/>
        <v>90190.924725408317</v>
      </c>
      <c r="P101" s="144">
        <f t="shared" si="5"/>
        <v>11760.011438243282</v>
      </c>
    </row>
    <row r="102" spans="3:16" x14ac:dyDescent="0.2">
      <c r="C102" s="145"/>
      <c r="D102" s="146" t="s">
        <v>195</v>
      </c>
      <c r="E102" s="137">
        <v>34516</v>
      </c>
      <c r="F102" s="138" t="str">
        <f t="shared" si="3"/>
        <v>Date check - OK</v>
      </c>
      <c r="H102" s="147" t="s">
        <v>190</v>
      </c>
      <c r="I102" s="148">
        <v>2304.2068742359793</v>
      </c>
      <c r="J102" s="141">
        <f>IF(OR(M102="metres",M102="pipe"),INDEX('Scheme cost allocation'!$D$21:$D$42,MATCH(IF(MONTH(E102)&lt;7,YEAR(E102),YEAR(E102)+1),'Scheme cost allocation'!$C$21:$C$42,0))*'Scheme cost allocation'!$J$21,'Scheme cost allocation'!$J$21)</f>
        <v>0.45855079888177602</v>
      </c>
      <c r="L102" s="148">
        <v>50.792933465200001</v>
      </c>
      <c r="M102" s="149" t="s">
        <v>191</v>
      </c>
      <c r="N102" s="148">
        <v>4346.9768907523503</v>
      </c>
      <c r="O102" s="143">
        <f t="shared" si="4"/>
        <v>220795.7079867461</v>
      </c>
      <c r="P102" s="144">
        <f t="shared" si="5"/>
        <v>101246.04828698975</v>
      </c>
    </row>
    <row r="103" spans="3:16" x14ac:dyDescent="0.2">
      <c r="C103" s="145"/>
      <c r="D103" s="146" t="s">
        <v>195</v>
      </c>
      <c r="E103" s="137">
        <v>34516</v>
      </c>
      <c r="F103" s="138" t="str">
        <f t="shared" si="3"/>
        <v>Date check - OK</v>
      </c>
      <c r="H103" s="147" t="s">
        <v>190</v>
      </c>
      <c r="I103" s="148">
        <v>2304.2068742359793</v>
      </c>
      <c r="J103" s="141">
        <f>IF(OR(M103="metres",M103="pipe"),INDEX('Scheme cost allocation'!$D$21:$D$42,MATCH(IF(MONTH(E103)&lt;7,YEAR(E103),YEAR(E103)+1),'Scheme cost allocation'!$C$21:$C$42,0))*'Scheme cost allocation'!$J$21,'Scheme cost allocation'!$J$21)</f>
        <v>0.45855079888177602</v>
      </c>
      <c r="L103" s="148">
        <v>89.330634885199999</v>
      </c>
      <c r="M103" s="149" t="s">
        <v>191</v>
      </c>
      <c r="N103" s="148">
        <v>4346.9768907523503</v>
      </c>
      <c r="O103" s="143">
        <f t="shared" si="4"/>
        <v>388318.20548220014</v>
      </c>
      <c r="P103" s="144">
        <f t="shared" si="5"/>
        <v>178063.62334420052</v>
      </c>
    </row>
    <row r="104" spans="3:16" x14ac:dyDescent="0.2">
      <c r="C104" s="145"/>
      <c r="D104" s="146" t="s">
        <v>195</v>
      </c>
      <c r="E104" s="137">
        <v>34516</v>
      </c>
      <c r="F104" s="138" t="str">
        <f t="shared" si="3"/>
        <v>Date check - OK</v>
      </c>
      <c r="H104" s="147" t="s">
        <v>190</v>
      </c>
      <c r="I104" s="148">
        <v>2304.2068742359793</v>
      </c>
      <c r="J104" s="141">
        <f>IF(OR(M104="metres",M104="pipe"),INDEX('Scheme cost allocation'!$D$21:$D$42,MATCH(IF(MONTH(E104)&lt;7,YEAR(E104),YEAR(E104)+1),'Scheme cost allocation'!$C$21:$C$42,0))*'Scheme cost allocation'!$J$21,'Scheme cost allocation'!$J$21)</f>
        <v>0.45855079888177602</v>
      </c>
      <c r="L104" s="148">
        <v>43.701053911800003</v>
      </c>
      <c r="M104" s="149" t="s">
        <v>191</v>
      </c>
      <c r="N104" s="148">
        <v>4346.9768907523503</v>
      </c>
      <c r="O104" s="143">
        <f t="shared" si="4"/>
        <v>189967.4714561172</v>
      </c>
      <c r="P104" s="144">
        <f t="shared" si="5"/>
        <v>87109.735797753528</v>
      </c>
    </row>
    <row r="105" spans="3:16" x14ac:dyDescent="0.2">
      <c r="C105" s="145"/>
      <c r="D105" s="146" t="s">
        <v>210</v>
      </c>
      <c r="E105" s="137">
        <v>34881</v>
      </c>
      <c r="F105" s="138" t="str">
        <f t="shared" si="3"/>
        <v>Date check - OK</v>
      </c>
      <c r="H105" s="147" t="s">
        <v>190</v>
      </c>
      <c r="I105" s="148">
        <v>2304.2068742359793</v>
      </c>
      <c r="J105" s="141">
        <f>IF(OR(M105="metres",M105="pipe"),INDEX('Scheme cost allocation'!$D$21:$D$42,MATCH(IF(MONTH(E105)&lt;7,YEAR(E105),YEAR(E105)+1),'Scheme cost allocation'!$C$21:$C$42,0))*'Scheme cost allocation'!$J$21,'Scheme cost allocation'!$J$21)</f>
        <v>0.13039018586456833</v>
      </c>
      <c r="L105" s="148">
        <v>15.422764019500001</v>
      </c>
      <c r="M105" s="149" t="s">
        <v>191</v>
      </c>
      <c r="N105" s="148">
        <v>1760.9894949960933</v>
      </c>
      <c r="O105" s="143">
        <f t="shared" si="4"/>
        <v>27159.325422143225</v>
      </c>
      <c r="P105" s="144">
        <f t="shared" si="5"/>
        <v>3541.3094897495507</v>
      </c>
    </row>
    <row r="106" spans="3:16" x14ac:dyDescent="0.2">
      <c r="C106" s="145"/>
      <c r="D106" s="146" t="s">
        <v>195</v>
      </c>
      <c r="E106" s="137">
        <v>34516</v>
      </c>
      <c r="F106" s="138" t="str">
        <f t="shared" si="3"/>
        <v>Date check - OK</v>
      </c>
      <c r="H106" s="147" t="s">
        <v>190</v>
      </c>
      <c r="I106" s="148">
        <v>2304.2068742359793</v>
      </c>
      <c r="J106" s="141">
        <f>IF(OR(M106="metres",M106="pipe"),INDEX('Scheme cost allocation'!$D$21:$D$42,MATCH(IF(MONTH(E106)&lt;7,YEAR(E106),YEAR(E106)+1),'Scheme cost allocation'!$C$21:$C$42,0))*'Scheme cost allocation'!$J$21,'Scheme cost allocation'!$J$21)</f>
        <v>0.45855079888177602</v>
      </c>
      <c r="L106" s="148">
        <v>99.271431581800002</v>
      </c>
      <c r="M106" s="149" t="s">
        <v>191</v>
      </c>
      <c r="N106" s="148">
        <v>4346.9768907523503</v>
      </c>
      <c r="O106" s="143">
        <f t="shared" si="4"/>
        <v>431530.61899798765</v>
      </c>
      <c r="P106" s="144">
        <f t="shared" si="5"/>
        <v>197878.71008347455</v>
      </c>
    </row>
    <row r="107" spans="3:16" x14ac:dyDescent="0.2">
      <c r="C107" s="145"/>
      <c r="D107" s="146" t="s">
        <v>195</v>
      </c>
      <c r="E107" s="137">
        <v>34516</v>
      </c>
      <c r="F107" s="138" t="str">
        <f t="shared" si="3"/>
        <v>Date check - OK</v>
      </c>
      <c r="H107" s="147" t="s">
        <v>190</v>
      </c>
      <c r="I107" s="148">
        <v>2304.2068742359793</v>
      </c>
      <c r="J107" s="141">
        <f>IF(OR(M107="metres",M107="pipe"),INDEX('Scheme cost allocation'!$D$21:$D$42,MATCH(IF(MONTH(E107)&lt;7,YEAR(E107),YEAR(E107)+1),'Scheme cost allocation'!$C$21:$C$42,0))*'Scheme cost allocation'!$J$21,'Scheme cost allocation'!$J$21)</f>
        <v>0.45855079888177602</v>
      </c>
      <c r="L107" s="148">
        <v>44.965971589600002</v>
      </c>
      <c r="M107" s="149" t="s">
        <v>191</v>
      </c>
      <c r="N107" s="148">
        <v>4346.9768907523503</v>
      </c>
      <c r="O107" s="143">
        <f t="shared" si="4"/>
        <v>195466.03937021794</v>
      </c>
      <c r="P107" s="144">
        <f t="shared" si="5"/>
        <v>89631.108507470126</v>
      </c>
    </row>
    <row r="108" spans="3:16" x14ac:dyDescent="0.2">
      <c r="C108" s="145"/>
      <c r="D108" s="146" t="s">
        <v>195</v>
      </c>
      <c r="E108" s="137">
        <v>34516</v>
      </c>
      <c r="F108" s="138" t="str">
        <f t="shared" si="3"/>
        <v>Date check - OK</v>
      </c>
      <c r="H108" s="147" t="s">
        <v>190</v>
      </c>
      <c r="I108" s="148">
        <v>2304.2068742359793</v>
      </c>
      <c r="J108" s="141">
        <f>IF(OR(M108="metres",M108="pipe"),INDEX('Scheme cost allocation'!$D$21:$D$42,MATCH(IF(MONTH(E108)&lt;7,YEAR(E108),YEAR(E108)+1),'Scheme cost allocation'!$C$21:$C$42,0))*'Scheme cost allocation'!$J$21,'Scheme cost allocation'!$J$21)</f>
        <v>0.45855079888177602</v>
      </c>
      <c r="L108" s="148">
        <v>38.471634251700003</v>
      </c>
      <c r="M108" s="149" t="s">
        <v>191</v>
      </c>
      <c r="N108" s="148">
        <v>4346.9768907523503</v>
      </c>
      <c r="O108" s="143">
        <f t="shared" si="4"/>
        <v>167235.30504161649</v>
      </c>
      <c r="P108" s="144">
        <f t="shared" si="5"/>
        <v>76685.882728070748</v>
      </c>
    </row>
    <row r="109" spans="3:16" x14ac:dyDescent="0.2">
      <c r="C109" s="145"/>
      <c r="D109" s="146" t="s">
        <v>210</v>
      </c>
      <c r="E109" s="137">
        <v>34881</v>
      </c>
      <c r="F109" s="138" t="str">
        <f t="shared" si="3"/>
        <v>Date check - OK</v>
      </c>
      <c r="H109" s="147" t="s">
        <v>190</v>
      </c>
      <c r="I109" s="148">
        <v>2304.2068742359793</v>
      </c>
      <c r="J109" s="141">
        <f>IF(OR(M109="metres",M109="pipe"),INDEX('Scheme cost allocation'!$D$21:$D$42,MATCH(IF(MONTH(E109)&lt;7,YEAR(E109),YEAR(E109)+1),'Scheme cost allocation'!$C$21:$C$42,0))*'Scheme cost allocation'!$J$21,'Scheme cost allocation'!$J$21)</f>
        <v>0.13039018586456833</v>
      </c>
      <c r="L109" s="148">
        <v>12.8019796125</v>
      </c>
      <c r="M109" s="149" t="s">
        <v>191</v>
      </c>
      <c r="N109" s="148">
        <v>1760.9894949960933</v>
      </c>
      <c r="O109" s="143">
        <f t="shared" si="4"/>
        <v>22544.151612766658</v>
      </c>
      <c r="P109" s="144">
        <f t="shared" si="5"/>
        <v>2939.5361189476525</v>
      </c>
    </row>
    <row r="110" spans="3:16" x14ac:dyDescent="0.2">
      <c r="C110" s="145"/>
      <c r="D110" s="146" t="s">
        <v>195</v>
      </c>
      <c r="E110" s="137">
        <v>34516</v>
      </c>
      <c r="F110" s="138" t="str">
        <f t="shared" si="3"/>
        <v>Date check - OK</v>
      </c>
      <c r="H110" s="147" t="s">
        <v>190</v>
      </c>
      <c r="I110" s="148">
        <v>2304.2068742359793</v>
      </c>
      <c r="J110" s="141">
        <f>IF(OR(M110="metres",M110="pipe"),INDEX('Scheme cost allocation'!$D$21:$D$42,MATCH(IF(MONTH(E110)&lt;7,YEAR(E110),YEAR(E110)+1),'Scheme cost allocation'!$C$21:$C$42,0))*'Scheme cost allocation'!$J$21,'Scheme cost allocation'!$J$21)</f>
        <v>0.45855079888177602</v>
      </c>
      <c r="L110" s="148">
        <v>49.712945607800002</v>
      </c>
      <c r="M110" s="149" t="s">
        <v>191</v>
      </c>
      <c r="N110" s="148">
        <v>4346.9768907523503</v>
      </c>
      <c r="O110" s="143">
        <f t="shared" si="4"/>
        <v>216101.02572833517</v>
      </c>
      <c r="P110" s="144">
        <f t="shared" si="5"/>
        <v>99093.297986899328</v>
      </c>
    </row>
    <row r="111" spans="3:16" x14ac:dyDescent="0.2">
      <c r="C111" s="145"/>
      <c r="D111" s="146" t="s">
        <v>210</v>
      </c>
      <c r="E111" s="137">
        <v>34881</v>
      </c>
      <c r="F111" s="138" t="str">
        <f t="shared" si="3"/>
        <v>Date check - OK</v>
      </c>
      <c r="H111" s="147" t="s">
        <v>190</v>
      </c>
      <c r="I111" s="148">
        <v>2304.2068742359793</v>
      </c>
      <c r="J111" s="141">
        <f>IF(OR(M111="metres",M111="pipe"),INDEX('Scheme cost allocation'!$D$21:$D$42,MATCH(IF(MONTH(E111)&lt;7,YEAR(E111),YEAR(E111)+1),'Scheme cost allocation'!$C$21:$C$42,0))*'Scheme cost allocation'!$J$21,'Scheme cost allocation'!$J$21)</f>
        <v>0.13039018586456833</v>
      </c>
      <c r="L111" s="148">
        <v>12.4117446397</v>
      </c>
      <c r="M111" s="149" t="s">
        <v>191</v>
      </c>
      <c r="N111" s="148">
        <v>1760.9894949960935</v>
      </c>
      <c r="O111" s="143">
        <f t="shared" si="4"/>
        <v>21856.951925085774</v>
      </c>
      <c r="P111" s="144">
        <f t="shared" si="5"/>
        <v>2849.9320239448684</v>
      </c>
    </row>
    <row r="112" spans="3:16" x14ac:dyDescent="0.2">
      <c r="C112" s="145"/>
      <c r="D112" s="146" t="s">
        <v>211</v>
      </c>
      <c r="E112" s="137">
        <v>34516</v>
      </c>
      <c r="F112" s="138" t="str">
        <f t="shared" si="3"/>
        <v>Date check - OK</v>
      </c>
      <c r="H112" s="147" t="s">
        <v>190</v>
      </c>
      <c r="I112" s="148">
        <v>2304.2068742359793</v>
      </c>
      <c r="J112" s="141">
        <f>IF(OR(M112="metres",M112="pipe"),INDEX('Scheme cost allocation'!$D$21:$D$42,MATCH(IF(MONTH(E112)&lt;7,YEAR(E112),YEAR(E112)+1),'Scheme cost allocation'!$C$21:$C$42,0))*'Scheme cost allocation'!$J$21,'Scheme cost allocation'!$J$21)</f>
        <v>0.45855079888177602</v>
      </c>
      <c r="L112" s="148">
        <v>22.4550402536</v>
      </c>
      <c r="M112" s="149" t="s">
        <v>191</v>
      </c>
      <c r="N112" s="148">
        <v>3996.536336679088</v>
      </c>
      <c r="O112" s="143">
        <f t="shared" si="4"/>
        <v>89742.384315104006</v>
      </c>
      <c r="P112" s="144">
        <f t="shared" si="5"/>
        <v>41151.442021246308</v>
      </c>
    </row>
    <row r="113" spans="3:16" x14ac:dyDescent="0.2">
      <c r="C113" s="145"/>
      <c r="D113" s="146" t="s">
        <v>195</v>
      </c>
      <c r="E113" s="137">
        <v>34516</v>
      </c>
      <c r="F113" s="138" t="str">
        <f t="shared" si="3"/>
        <v>Date check - OK</v>
      </c>
      <c r="H113" s="147" t="s">
        <v>190</v>
      </c>
      <c r="I113" s="148">
        <v>2304.2068742359793</v>
      </c>
      <c r="J113" s="141">
        <f>IF(OR(M113="metres",M113="pipe"),INDEX('Scheme cost allocation'!$D$21:$D$42,MATCH(IF(MONTH(E113)&lt;7,YEAR(E113),YEAR(E113)+1),'Scheme cost allocation'!$C$21:$C$42,0))*'Scheme cost allocation'!$J$21,'Scheme cost allocation'!$J$21)</f>
        <v>0.45855079888177602</v>
      </c>
      <c r="L113" s="148">
        <v>59.902396304</v>
      </c>
      <c r="M113" s="149" t="s">
        <v>191</v>
      </c>
      <c r="N113" s="148">
        <v>4346.9768907523503</v>
      </c>
      <c r="O113" s="143">
        <f t="shared" si="4"/>
        <v>260394.33243417699</v>
      </c>
      <c r="P113" s="144">
        <f t="shared" si="5"/>
        <v>119404.02916197861</v>
      </c>
    </row>
    <row r="114" spans="3:16" x14ac:dyDescent="0.2">
      <c r="C114" s="145"/>
      <c r="D114" s="146" t="s">
        <v>210</v>
      </c>
      <c r="E114" s="137">
        <v>34881</v>
      </c>
      <c r="F114" s="138" t="str">
        <f t="shared" si="3"/>
        <v>Date check - OK</v>
      </c>
      <c r="H114" s="147" t="s">
        <v>190</v>
      </c>
      <c r="I114" s="148">
        <v>2304.2068742359793</v>
      </c>
      <c r="J114" s="141">
        <f>IF(OR(M114="metres",M114="pipe"),INDEX('Scheme cost allocation'!$D$21:$D$42,MATCH(IF(MONTH(E114)&lt;7,YEAR(E114),YEAR(E114)+1),'Scheme cost allocation'!$C$21:$C$42,0))*'Scheme cost allocation'!$J$21,'Scheme cost allocation'!$J$21)</f>
        <v>0.13039018586456833</v>
      </c>
      <c r="L114" s="148">
        <v>42.813395793200002</v>
      </c>
      <c r="M114" s="149" t="s">
        <v>191</v>
      </c>
      <c r="N114" s="148">
        <v>1760.9894949960931</v>
      </c>
      <c r="O114" s="143">
        <f t="shared" si="4"/>
        <v>75393.94023693513</v>
      </c>
      <c r="P114" s="144">
        <f t="shared" si="5"/>
        <v>9830.6298805561273</v>
      </c>
    </row>
    <row r="115" spans="3:16" x14ac:dyDescent="0.2">
      <c r="C115" s="145"/>
      <c r="D115" s="146" t="s">
        <v>195</v>
      </c>
      <c r="E115" s="137">
        <v>34516</v>
      </c>
      <c r="F115" s="138" t="str">
        <f t="shared" si="3"/>
        <v>Date check - OK</v>
      </c>
      <c r="H115" s="147" t="s">
        <v>190</v>
      </c>
      <c r="I115" s="148">
        <v>2304.2068742359793</v>
      </c>
      <c r="J115" s="141">
        <f>IF(OR(M115="metres",M115="pipe"),INDEX('Scheme cost allocation'!$D$21:$D$42,MATCH(IF(MONTH(E115)&lt;7,YEAR(E115),YEAR(E115)+1),'Scheme cost allocation'!$C$21:$C$42,0))*'Scheme cost allocation'!$J$21,'Scheme cost allocation'!$J$21)</f>
        <v>0.45855079888177602</v>
      </c>
      <c r="L115" s="148">
        <v>79.393861036000004</v>
      </c>
      <c r="M115" s="149" t="s">
        <v>191</v>
      </c>
      <c r="N115" s="148">
        <v>4346.9768907523503</v>
      </c>
      <c r="O115" s="143">
        <f t="shared" si="4"/>
        <v>345123.2791910955</v>
      </c>
      <c r="P115" s="144">
        <f t="shared" si="5"/>
        <v>158256.55538577508</v>
      </c>
    </row>
    <row r="116" spans="3:16" x14ac:dyDescent="0.2">
      <c r="C116" s="145"/>
      <c r="D116" s="146" t="s">
        <v>195</v>
      </c>
      <c r="E116" s="137">
        <v>34516</v>
      </c>
      <c r="F116" s="138" t="str">
        <f t="shared" si="3"/>
        <v>Date check - OK</v>
      </c>
      <c r="H116" s="147" t="s">
        <v>190</v>
      </c>
      <c r="I116" s="148">
        <v>2304.2068742359793</v>
      </c>
      <c r="J116" s="141">
        <f>IF(OR(M116="metres",M116="pipe"),INDEX('Scheme cost allocation'!$D$21:$D$42,MATCH(IF(MONTH(E116)&lt;7,YEAR(E116),YEAR(E116)+1),'Scheme cost allocation'!$C$21:$C$42,0))*'Scheme cost allocation'!$J$21,'Scheme cost allocation'!$J$21)</f>
        <v>0.45855079888177602</v>
      </c>
      <c r="L116" s="148">
        <v>52.450081432300003</v>
      </c>
      <c r="M116" s="149" t="s">
        <v>191</v>
      </c>
      <c r="N116" s="148">
        <v>4346.9768907523503</v>
      </c>
      <c r="O116" s="143">
        <f t="shared" si="4"/>
        <v>227999.29190428703</v>
      </c>
      <c r="P116" s="144">
        <f t="shared" si="5"/>
        <v>104549.25744719007</v>
      </c>
    </row>
    <row r="117" spans="3:16" x14ac:dyDescent="0.2">
      <c r="C117" s="145"/>
      <c r="D117" s="146" t="s">
        <v>195</v>
      </c>
      <c r="E117" s="137">
        <v>34516</v>
      </c>
      <c r="F117" s="138" t="str">
        <f t="shared" si="3"/>
        <v>Date check - OK</v>
      </c>
      <c r="H117" s="147" t="s">
        <v>190</v>
      </c>
      <c r="I117" s="148">
        <v>2304.2068742359793</v>
      </c>
      <c r="J117" s="141">
        <f>IF(OR(M117="metres",M117="pipe"),INDEX('Scheme cost allocation'!$D$21:$D$42,MATCH(IF(MONTH(E117)&lt;7,YEAR(E117),YEAR(E117)+1),'Scheme cost allocation'!$C$21:$C$42,0))*'Scheme cost allocation'!$J$21,'Scheme cost allocation'!$J$21)</f>
        <v>0.45855079888177602</v>
      </c>
      <c r="L117" s="148">
        <v>9.8902017168499992</v>
      </c>
      <c r="M117" s="149" t="s">
        <v>191</v>
      </c>
      <c r="N117" s="148">
        <v>4346.9768907523503</v>
      </c>
      <c r="O117" s="143">
        <f t="shared" si="4"/>
        <v>42992.47830802617</v>
      </c>
      <c r="P117" s="144">
        <f t="shared" si="5"/>
        <v>19714.235274052826</v>
      </c>
    </row>
    <row r="118" spans="3:16" x14ac:dyDescent="0.2">
      <c r="C118" s="145"/>
      <c r="D118" s="146" t="s">
        <v>210</v>
      </c>
      <c r="E118" s="137">
        <v>34881</v>
      </c>
      <c r="F118" s="138" t="str">
        <f t="shared" si="3"/>
        <v>Date check - OK</v>
      </c>
      <c r="H118" s="147" t="s">
        <v>190</v>
      </c>
      <c r="I118" s="148">
        <v>2304.2068742359793</v>
      </c>
      <c r="J118" s="141">
        <f>IF(OR(M118="metres",M118="pipe"),INDEX('Scheme cost allocation'!$D$21:$D$42,MATCH(IF(MONTH(E118)&lt;7,YEAR(E118),YEAR(E118)+1),'Scheme cost allocation'!$C$21:$C$42,0))*'Scheme cost allocation'!$J$21,'Scheme cost allocation'!$J$21)</f>
        <v>0.13039018586456833</v>
      </c>
      <c r="L118" s="148">
        <v>48.053907424199998</v>
      </c>
      <c r="M118" s="149" t="s">
        <v>191</v>
      </c>
      <c r="N118" s="148">
        <v>1760.9894949960931</v>
      </c>
      <c r="O118" s="143">
        <f t="shared" si="4"/>
        <v>84622.426167530968</v>
      </c>
      <c r="P118" s="144">
        <f t="shared" si="5"/>
        <v>11033.933876295074</v>
      </c>
    </row>
    <row r="119" spans="3:16" x14ac:dyDescent="0.2">
      <c r="C119" s="145"/>
      <c r="D119" s="146" t="s">
        <v>195</v>
      </c>
      <c r="E119" s="137">
        <v>34516</v>
      </c>
      <c r="F119" s="138" t="str">
        <f t="shared" si="3"/>
        <v>Date check - OK</v>
      </c>
      <c r="H119" s="147" t="s">
        <v>190</v>
      </c>
      <c r="I119" s="148">
        <v>2304.2068742359793</v>
      </c>
      <c r="J119" s="141">
        <f>IF(OR(M119="metres",M119="pipe"),INDEX('Scheme cost allocation'!$D$21:$D$42,MATCH(IF(MONTH(E119)&lt;7,YEAR(E119),YEAR(E119)+1),'Scheme cost allocation'!$C$21:$C$42,0))*'Scheme cost allocation'!$J$21,'Scheme cost allocation'!$J$21)</f>
        <v>0.45855079888177602</v>
      </c>
      <c r="L119" s="148">
        <v>47.817795609999997</v>
      </c>
      <c r="M119" s="149" t="s">
        <v>191</v>
      </c>
      <c r="N119" s="148">
        <v>4346.9768907523503</v>
      </c>
      <c r="O119" s="143">
        <f t="shared" si="4"/>
        <v>207862.85248338917</v>
      </c>
      <c r="P119" s="144">
        <f t="shared" si="5"/>
        <v>95315.677064102871</v>
      </c>
    </row>
    <row r="120" spans="3:16" x14ac:dyDescent="0.2">
      <c r="C120" s="145"/>
      <c r="D120" s="146" t="s">
        <v>208</v>
      </c>
      <c r="E120" s="137">
        <v>34516</v>
      </c>
      <c r="F120" s="138" t="str">
        <f t="shared" ref="F120:F183" si="6">IF(E120="","-",IF(OR(E120&lt;$E$15,E120&gt;$E$16),"ERROR - date outside of range","Date check - OK"))</f>
        <v>Date check - OK</v>
      </c>
      <c r="H120" s="147" t="s">
        <v>190</v>
      </c>
      <c r="I120" s="148">
        <v>2304.2068742359793</v>
      </c>
      <c r="J120" s="141">
        <f>IF(OR(M120="metres",M120="pipe"),INDEX('Scheme cost allocation'!$D$21:$D$42,MATCH(IF(MONTH(E120)&lt;7,YEAR(E120),YEAR(E120)+1),'Scheme cost allocation'!$C$21:$C$42,0))*'Scheme cost allocation'!$J$21,'Scheme cost allocation'!$J$21)</f>
        <v>0.45855079888177602</v>
      </c>
      <c r="L120" s="148">
        <v>2.5362858671700002</v>
      </c>
      <c r="M120" s="149" t="s">
        <v>191</v>
      </c>
      <c r="N120" s="148">
        <v>1060.2382660371588</v>
      </c>
      <c r="O120" s="143">
        <f t="shared" si="4"/>
        <v>2689.0673299828727</v>
      </c>
      <c r="P120" s="144">
        <f t="shared" ref="P120:P183" si="7">IF(O120="-","-",IF(OR(E120&lt;$E$15,E120&gt;$E$16),0,O120*J120))</f>
        <v>1233.0739724105308</v>
      </c>
    </row>
    <row r="121" spans="3:16" x14ac:dyDescent="0.2">
      <c r="C121" s="145"/>
      <c r="D121" s="146" t="s">
        <v>195</v>
      </c>
      <c r="E121" s="137">
        <v>34516</v>
      </c>
      <c r="F121" s="138" t="str">
        <f t="shared" si="6"/>
        <v>Date check - OK</v>
      </c>
      <c r="H121" s="147" t="s">
        <v>190</v>
      </c>
      <c r="I121" s="148">
        <v>2304.2068742359793</v>
      </c>
      <c r="J121" s="141">
        <f>IF(OR(M121="metres",M121="pipe"),INDEX('Scheme cost allocation'!$D$21:$D$42,MATCH(IF(MONTH(E121)&lt;7,YEAR(E121),YEAR(E121)+1),'Scheme cost allocation'!$C$21:$C$42,0))*'Scheme cost allocation'!$J$21,'Scheme cost allocation'!$J$21)</f>
        <v>0.45855079888177602</v>
      </c>
      <c r="L121" s="148">
        <v>59.878313311200003</v>
      </c>
      <c r="M121" s="149" t="s">
        <v>191</v>
      </c>
      <c r="N121" s="148">
        <v>4346.9768907523503</v>
      </c>
      <c r="O121" s="143">
        <f t="shared" si="4"/>
        <v>260289.64422101525</v>
      </c>
      <c r="P121" s="144">
        <f t="shared" si="7"/>
        <v>119356.0242981998</v>
      </c>
    </row>
    <row r="122" spans="3:16" x14ac:dyDescent="0.2">
      <c r="C122" s="145"/>
      <c r="D122" s="146" t="s">
        <v>210</v>
      </c>
      <c r="E122" s="137">
        <v>34881</v>
      </c>
      <c r="F122" s="138" t="str">
        <f t="shared" si="6"/>
        <v>Date check - OK</v>
      </c>
      <c r="H122" s="147" t="s">
        <v>190</v>
      </c>
      <c r="I122" s="148">
        <v>2304.2068742359793</v>
      </c>
      <c r="J122" s="141">
        <f>IF(OR(M122="metres",M122="pipe"),INDEX('Scheme cost allocation'!$D$21:$D$42,MATCH(IF(MONTH(E122)&lt;7,YEAR(E122),YEAR(E122)+1),'Scheme cost allocation'!$C$21:$C$42,0))*'Scheme cost allocation'!$J$21,'Scheme cost allocation'!$J$21)</f>
        <v>0.13039018586456833</v>
      </c>
      <c r="L122" s="148">
        <v>20.408544914899998</v>
      </c>
      <c r="M122" s="149" t="s">
        <v>191</v>
      </c>
      <c r="N122" s="148">
        <v>1760.9894949960935</v>
      </c>
      <c r="O122" s="143">
        <f t="shared" si="4"/>
        <v>35939.23320329484</v>
      </c>
      <c r="P122" s="144">
        <f t="shared" si="7"/>
        <v>4686.1232972076796</v>
      </c>
    </row>
    <row r="123" spans="3:16" x14ac:dyDescent="0.2">
      <c r="C123" s="145"/>
      <c r="D123" s="146" t="s">
        <v>195</v>
      </c>
      <c r="E123" s="137">
        <v>34516</v>
      </c>
      <c r="F123" s="138" t="str">
        <f t="shared" si="6"/>
        <v>Date check - OK</v>
      </c>
      <c r="H123" s="147" t="s">
        <v>190</v>
      </c>
      <c r="I123" s="148">
        <v>2304.2068742359793</v>
      </c>
      <c r="J123" s="141">
        <f>IF(OR(M123="metres",M123="pipe"),INDEX('Scheme cost allocation'!$D$21:$D$42,MATCH(IF(MONTH(E123)&lt;7,YEAR(E123),YEAR(E123)+1),'Scheme cost allocation'!$C$21:$C$42,0))*'Scheme cost allocation'!$J$21,'Scheme cost allocation'!$J$21)</f>
        <v>0.45855079888177602</v>
      </c>
      <c r="L123" s="148">
        <v>86.809690017899996</v>
      </c>
      <c r="M123" s="149" t="s">
        <v>191</v>
      </c>
      <c r="N123" s="148">
        <v>4346.9768907523503</v>
      </c>
      <c r="O123" s="143">
        <f t="shared" si="4"/>
        <v>377359.71640118625</v>
      </c>
      <c r="P123" s="144">
        <f t="shared" si="7"/>
        <v>173038.5994215644</v>
      </c>
    </row>
    <row r="124" spans="3:16" x14ac:dyDescent="0.2">
      <c r="C124" s="145"/>
      <c r="D124" s="146" t="s">
        <v>208</v>
      </c>
      <c r="E124" s="137">
        <v>34516</v>
      </c>
      <c r="F124" s="138" t="str">
        <f t="shared" si="6"/>
        <v>Date check - OK</v>
      </c>
      <c r="H124" s="147" t="s">
        <v>190</v>
      </c>
      <c r="I124" s="148">
        <v>2304.2068742359793</v>
      </c>
      <c r="J124" s="141">
        <f>IF(OR(M124="metres",M124="pipe"),INDEX('Scheme cost allocation'!$D$21:$D$42,MATCH(IF(MONTH(E124)&lt;7,YEAR(E124),YEAR(E124)+1),'Scheme cost allocation'!$C$21:$C$42,0))*'Scheme cost allocation'!$J$21,'Scheme cost allocation'!$J$21)</f>
        <v>0.45855079888177602</v>
      </c>
      <c r="L124" s="148">
        <v>2.9855138586200001</v>
      </c>
      <c r="M124" s="149" t="s">
        <v>191</v>
      </c>
      <c r="N124" s="148">
        <v>1060.2382660371586</v>
      </c>
      <c r="O124" s="143">
        <f t="shared" si="4"/>
        <v>3165.3560366931756</v>
      </c>
      <c r="P124" s="144">
        <f t="shared" si="7"/>
        <v>1451.4765393709081</v>
      </c>
    </row>
    <row r="125" spans="3:16" x14ac:dyDescent="0.2">
      <c r="C125" s="145"/>
      <c r="D125" s="146" t="s">
        <v>212</v>
      </c>
      <c r="E125" s="137">
        <v>34516</v>
      </c>
      <c r="F125" s="138" t="str">
        <f t="shared" si="6"/>
        <v>Date check - OK</v>
      </c>
      <c r="H125" s="147" t="s">
        <v>190</v>
      </c>
      <c r="I125" s="148">
        <v>2304.2068742359793</v>
      </c>
      <c r="J125" s="141">
        <f>IF(OR(M125="metres",M125="pipe"),INDEX('Scheme cost allocation'!$D$21:$D$42,MATCH(IF(MONTH(E125)&lt;7,YEAR(E125),YEAR(E125)+1),'Scheme cost allocation'!$C$21:$C$42,0))*'Scheme cost allocation'!$J$21,'Scheme cost allocation'!$J$21)</f>
        <v>0.45855079888177602</v>
      </c>
      <c r="L125" s="148">
        <v>4.34716240782</v>
      </c>
      <c r="M125" s="149" t="s">
        <v>191</v>
      </c>
      <c r="N125" s="148">
        <v>9840.3364066573777</v>
      </c>
      <c r="O125" s="143">
        <f t="shared" si="4"/>
        <v>42777.540507323494</v>
      </c>
      <c r="P125" s="144">
        <f t="shared" si="7"/>
        <v>19615.675373830723</v>
      </c>
    </row>
    <row r="126" spans="3:16" x14ac:dyDescent="0.2">
      <c r="C126" s="145"/>
      <c r="D126" s="146" t="s">
        <v>213</v>
      </c>
      <c r="E126" s="137">
        <v>34881</v>
      </c>
      <c r="F126" s="138" t="str">
        <f t="shared" si="6"/>
        <v>Date check - OK</v>
      </c>
      <c r="H126" s="147" t="s">
        <v>190</v>
      </c>
      <c r="I126" s="148">
        <v>2304.2068742359793</v>
      </c>
      <c r="J126" s="141">
        <f>IF(OR(M126="metres",M126="pipe"),INDEX('Scheme cost allocation'!$D$21:$D$42,MATCH(IF(MONTH(E126)&lt;7,YEAR(E126),YEAR(E126)+1),'Scheme cost allocation'!$C$21:$C$42,0))*'Scheme cost allocation'!$J$21,'Scheme cost allocation'!$J$21)</f>
        <v>0.13039018586456833</v>
      </c>
      <c r="L126" s="148">
        <v>9.7100132067199993</v>
      </c>
      <c r="M126" s="149" t="s">
        <v>191</v>
      </c>
      <c r="N126" s="148">
        <v>11195.868258657709</v>
      </c>
      <c r="O126" s="143">
        <f t="shared" si="4"/>
        <v>108712.02865226359</v>
      </c>
      <c r="P126" s="144">
        <f t="shared" si="7"/>
        <v>14174.981621682926</v>
      </c>
    </row>
    <row r="127" spans="3:16" x14ac:dyDescent="0.2">
      <c r="C127" s="145"/>
      <c r="D127" s="146" t="s">
        <v>214</v>
      </c>
      <c r="E127" s="137">
        <v>34881</v>
      </c>
      <c r="F127" s="138" t="str">
        <f t="shared" si="6"/>
        <v>Date check - OK</v>
      </c>
      <c r="H127" s="147" t="s">
        <v>190</v>
      </c>
      <c r="I127" s="148">
        <v>2304.2068742359793</v>
      </c>
      <c r="J127" s="141">
        <f>IF(OR(M127="metres",M127="pipe"),INDEX('Scheme cost allocation'!$D$21:$D$42,MATCH(IF(MONTH(E127)&lt;7,YEAR(E127),YEAR(E127)+1),'Scheme cost allocation'!$C$21:$C$42,0))*'Scheme cost allocation'!$J$21,'Scheme cost allocation'!$J$21)</f>
        <v>0.13039018586456833</v>
      </c>
      <c r="L127" s="148">
        <v>12.973676190300001</v>
      </c>
      <c r="M127" s="149" t="s">
        <v>191</v>
      </c>
      <c r="N127" s="148">
        <v>3687.8868133150863</v>
      </c>
      <c r="O127" s="143">
        <f t="shared" si="4"/>
        <v>47845.44934242728</v>
      </c>
      <c r="P127" s="144">
        <f t="shared" si="7"/>
        <v>6238.5770325328813</v>
      </c>
    </row>
    <row r="128" spans="3:16" x14ac:dyDescent="0.2">
      <c r="C128" s="145"/>
      <c r="D128" s="146" t="s">
        <v>215</v>
      </c>
      <c r="E128" s="137">
        <v>34881</v>
      </c>
      <c r="F128" s="138" t="str">
        <f t="shared" si="6"/>
        <v>Date check - OK</v>
      </c>
      <c r="H128" s="147" t="s">
        <v>190</v>
      </c>
      <c r="I128" s="148">
        <v>2304.2068742359793</v>
      </c>
      <c r="J128" s="141">
        <f>IF(OR(M128="metres",M128="pipe"),INDEX('Scheme cost allocation'!$D$21:$D$42,MATCH(IF(MONTH(E128)&lt;7,YEAR(E128),YEAR(E128)+1),'Scheme cost allocation'!$C$21:$C$42,0))*'Scheme cost allocation'!$J$21,'Scheme cost allocation'!$J$21)</f>
        <v>0.13039018586456833</v>
      </c>
      <c r="L128" s="148">
        <v>8.8990836607099997</v>
      </c>
      <c r="M128" s="149" t="s">
        <v>191</v>
      </c>
      <c r="N128" s="148">
        <v>5553.7670880991827</v>
      </c>
      <c r="O128" s="143">
        <f t="shared" si="4"/>
        <v>49423.437949092389</v>
      </c>
      <c r="P128" s="144">
        <f t="shared" si="7"/>
        <v>6444.3312602481165</v>
      </c>
    </row>
    <row r="129" spans="3:16" x14ac:dyDescent="0.2">
      <c r="C129" s="145"/>
      <c r="D129" s="146" t="s">
        <v>215</v>
      </c>
      <c r="E129" s="137">
        <v>34881</v>
      </c>
      <c r="F129" s="138" t="str">
        <f t="shared" si="6"/>
        <v>Date check - OK</v>
      </c>
      <c r="H129" s="147" t="s">
        <v>190</v>
      </c>
      <c r="I129" s="148">
        <v>2304.2068742359793</v>
      </c>
      <c r="J129" s="141">
        <f>IF(OR(M129="metres",M129="pipe"),INDEX('Scheme cost allocation'!$D$21:$D$42,MATCH(IF(MONTH(E129)&lt;7,YEAR(E129),YEAR(E129)+1),'Scheme cost allocation'!$C$21:$C$42,0))*'Scheme cost allocation'!$J$21,'Scheme cost allocation'!$J$21)</f>
        <v>0.13039018586456833</v>
      </c>
      <c r="L129" s="148">
        <v>16.9940283629</v>
      </c>
      <c r="M129" s="149" t="s">
        <v>191</v>
      </c>
      <c r="N129" s="148">
        <v>5553.7670880991818</v>
      </c>
      <c r="O129" s="143">
        <f t="shared" si="4"/>
        <v>94380.875416098032</v>
      </c>
      <c r="P129" s="144">
        <f t="shared" si="7"/>
        <v>12306.339887565689</v>
      </c>
    </row>
    <row r="130" spans="3:16" x14ac:dyDescent="0.2">
      <c r="C130" s="145"/>
      <c r="D130" s="146" t="s">
        <v>215</v>
      </c>
      <c r="E130" s="137">
        <v>34881</v>
      </c>
      <c r="F130" s="138" t="str">
        <f t="shared" si="6"/>
        <v>Date check - OK</v>
      </c>
      <c r="H130" s="147" t="s">
        <v>190</v>
      </c>
      <c r="I130" s="148">
        <v>2304.2068742359793</v>
      </c>
      <c r="J130" s="141">
        <f>IF(OR(M130="metres",M130="pipe"),INDEX('Scheme cost allocation'!$D$21:$D$42,MATCH(IF(MONTH(E130)&lt;7,YEAR(E130),YEAR(E130)+1),'Scheme cost allocation'!$C$21:$C$42,0))*'Scheme cost allocation'!$J$21,'Scheme cost allocation'!$J$21)</f>
        <v>0.13039018586456833</v>
      </c>
      <c r="L130" s="148">
        <v>10.1374833662</v>
      </c>
      <c r="M130" s="149" t="s">
        <v>191</v>
      </c>
      <c r="N130" s="148">
        <v>5553.7670880991827</v>
      </c>
      <c r="O130" s="143">
        <f t="shared" si="4"/>
        <v>56301.221475354476</v>
      </c>
      <c r="P130" s="144">
        <f t="shared" si="7"/>
        <v>7341.1267325736962</v>
      </c>
    </row>
    <row r="131" spans="3:16" x14ac:dyDescent="0.2">
      <c r="C131" s="145"/>
      <c r="D131" s="146" t="s">
        <v>216</v>
      </c>
      <c r="E131" s="137">
        <v>34881</v>
      </c>
      <c r="F131" s="138" t="str">
        <f t="shared" si="6"/>
        <v>Date check - OK</v>
      </c>
      <c r="H131" s="147" t="s">
        <v>190</v>
      </c>
      <c r="I131" s="148">
        <v>2304.2068742359793</v>
      </c>
      <c r="J131" s="141">
        <f>IF(OR(M131="metres",M131="pipe"),INDEX('Scheme cost allocation'!$D$21:$D$42,MATCH(IF(MONTH(E131)&lt;7,YEAR(E131),YEAR(E131)+1),'Scheme cost allocation'!$C$21:$C$42,0))*'Scheme cost allocation'!$J$21,'Scheme cost allocation'!$J$21)</f>
        <v>0.13039018586456833</v>
      </c>
      <c r="L131" s="148">
        <v>12.821974301999999</v>
      </c>
      <c r="M131" s="149" t="s">
        <v>191</v>
      </c>
      <c r="N131" s="148">
        <v>2687.7084772843823</v>
      </c>
      <c r="O131" s="143">
        <f t="shared" si="4"/>
        <v>34461.729027007896</v>
      </c>
      <c r="P131" s="144">
        <f t="shared" si="7"/>
        <v>4493.4712530459492</v>
      </c>
    </row>
    <row r="132" spans="3:16" x14ac:dyDescent="0.2">
      <c r="C132" s="145"/>
      <c r="D132" s="146" t="s">
        <v>216</v>
      </c>
      <c r="E132" s="137">
        <v>34881</v>
      </c>
      <c r="F132" s="138" t="str">
        <f t="shared" si="6"/>
        <v>Date check - OK</v>
      </c>
      <c r="H132" s="147" t="s">
        <v>190</v>
      </c>
      <c r="I132" s="148">
        <v>2304.2068742359793</v>
      </c>
      <c r="J132" s="141">
        <f>IF(OR(M132="metres",M132="pipe"),INDEX('Scheme cost allocation'!$D$21:$D$42,MATCH(IF(MONTH(E132)&lt;7,YEAR(E132),YEAR(E132)+1),'Scheme cost allocation'!$C$21:$C$42,0))*'Scheme cost allocation'!$J$21,'Scheme cost allocation'!$J$21)</f>
        <v>0.13039018586456833</v>
      </c>
      <c r="L132" s="148">
        <v>60.020212741199998</v>
      </c>
      <c r="M132" s="149" t="s">
        <v>191</v>
      </c>
      <c r="N132" s="148">
        <v>2687.7084772843818</v>
      </c>
      <c r="O132" s="143">
        <f t="shared" si="4"/>
        <v>161316.83459293531</v>
      </c>
      <c r="P132" s="144">
        <f t="shared" si="7"/>
        <v>21034.132045656661</v>
      </c>
    </row>
    <row r="133" spans="3:16" ht="22.8" x14ac:dyDescent="0.2">
      <c r="C133" s="145"/>
      <c r="D133" s="146" t="s">
        <v>217</v>
      </c>
      <c r="E133" s="137">
        <v>34516</v>
      </c>
      <c r="F133" s="138" t="str">
        <f t="shared" si="6"/>
        <v>Date check - OK</v>
      </c>
      <c r="H133" s="147" t="s">
        <v>190</v>
      </c>
      <c r="I133" s="148">
        <v>2304.2068742359793</v>
      </c>
      <c r="J133" s="141">
        <f>IF(OR(M133="metres",M133="pipe"),INDEX('Scheme cost allocation'!$D$21:$D$42,MATCH(IF(MONTH(E133)&lt;7,YEAR(E133),YEAR(E133)+1),'Scheme cost allocation'!$C$21:$C$42,0))*'Scheme cost allocation'!$J$21,'Scheme cost allocation'!$J$21)</f>
        <v>0.45855079888177602</v>
      </c>
      <c r="L133" s="148">
        <v>163.983069191</v>
      </c>
      <c r="M133" s="149" t="s">
        <v>191</v>
      </c>
      <c r="N133" s="148">
        <v>893.88577768106802</v>
      </c>
      <c r="O133" s="143">
        <f t="shared" si="4"/>
        <v>146582.13333032542</v>
      </c>
      <c r="P133" s="144">
        <f t="shared" si="7"/>
        <v>67215.354340415724</v>
      </c>
    </row>
    <row r="134" spans="3:16" x14ac:dyDescent="0.2">
      <c r="C134" s="145"/>
      <c r="D134" s="146" t="s">
        <v>218</v>
      </c>
      <c r="E134" s="137">
        <v>34516</v>
      </c>
      <c r="F134" s="138" t="str">
        <f t="shared" si="6"/>
        <v>Date check - OK</v>
      </c>
      <c r="H134" s="147" t="s">
        <v>190</v>
      </c>
      <c r="I134" s="148">
        <v>2304.2068742359793</v>
      </c>
      <c r="J134" s="141">
        <f>IF(OR(M134="metres",M134="pipe"),INDEX('Scheme cost allocation'!$D$21:$D$42,MATCH(IF(MONTH(E134)&lt;7,YEAR(E134),YEAR(E134)+1),'Scheme cost allocation'!$C$21:$C$42,0))*'Scheme cost allocation'!$J$21,'Scheme cost allocation'!$J$21)</f>
        <v>0.45855079888177602</v>
      </c>
      <c r="L134" s="148">
        <v>3.0906421662799999</v>
      </c>
      <c r="M134" s="149" t="s">
        <v>191</v>
      </c>
      <c r="N134" s="148">
        <v>15688.759778124506</v>
      </c>
      <c r="O134" s="143">
        <f t="shared" si="4"/>
        <v>48488.342506909255</v>
      </c>
      <c r="P134" s="144">
        <f t="shared" si="7"/>
        <v>22234.368192996419</v>
      </c>
    </row>
    <row r="135" spans="3:16" x14ac:dyDescent="0.2">
      <c r="C135" s="145"/>
      <c r="D135" s="146" t="s">
        <v>218</v>
      </c>
      <c r="E135" s="137">
        <v>34516</v>
      </c>
      <c r="F135" s="138" t="str">
        <f t="shared" si="6"/>
        <v>Date check - OK</v>
      </c>
      <c r="H135" s="147" t="s">
        <v>190</v>
      </c>
      <c r="I135" s="148">
        <v>2304.2068742359793</v>
      </c>
      <c r="J135" s="141">
        <f>IF(OR(M135="metres",M135="pipe"),INDEX('Scheme cost allocation'!$D$21:$D$42,MATCH(IF(MONTH(E135)&lt;7,YEAR(E135),YEAR(E135)+1),'Scheme cost allocation'!$C$21:$C$42,0))*'Scheme cost allocation'!$J$21,'Scheme cost allocation'!$J$21)</f>
        <v>0.45855079888177602</v>
      </c>
      <c r="L135" s="148">
        <v>3.1893302556599998</v>
      </c>
      <c r="M135" s="149" t="s">
        <v>191</v>
      </c>
      <c r="N135" s="148">
        <v>15688.759778124508</v>
      </c>
      <c r="O135" s="143">
        <f t="shared" si="4"/>
        <v>50036.636234154161</v>
      </c>
      <c r="P135" s="144">
        <f t="shared" si="7"/>
        <v>22944.33951852821</v>
      </c>
    </row>
    <row r="136" spans="3:16" x14ac:dyDescent="0.2">
      <c r="C136" s="145"/>
      <c r="D136" s="146" t="s">
        <v>219</v>
      </c>
      <c r="E136" s="137">
        <v>34516</v>
      </c>
      <c r="F136" s="138" t="str">
        <f t="shared" si="6"/>
        <v>Date check - OK</v>
      </c>
      <c r="H136" s="147" t="s">
        <v>190</v>
      </c>
      <c r="I136" s="148">
        <v>2304.2068742359793</v>
      </c>
      <c r="J136" s="141">
        <f>IF(OR(M136="metres",M136="pipe"),INDEX('Scheme cost allocation'!$D$21:$D$42,MATCH(IF(MONTH(E136)&lt;7,YEAR(E136),YEAR(E136)+1),'Scheme cost allocation'!$C$21:$C$42,0))*'Scheme cost allocation'!$J$21,'Scheme cost allocation'!$J$21)</f>
        <v>0.45855079888177602</v>
      </c>
      <c r="L136" s="148">
        <v>10.8937955277</v>
      </c>
      <c r="M136" s="149" t="s">
        <v>191</v>
      </c>
      <c r="N136" s="148">
        <v>8474.252533314313</v>
      </c>
      <c r="O136" s="143">
        <f t="shared" si="4"/>
        <v>92316.774348019855</v>
      </c>
      <c r="P136" s="144">
        <f t="shared" si="7"/>
        <v>42331.93062747315</v>
      </c>
    </row>
    <row r="137" spans="3:16" x14ac:dyDescent="0.2">
      <c r="C137" s="145"/>
      <c r="D137" s="146" t="s">
        <v>219</v>
      </c>
      <c r="E137" s="137">
        <v>34516</v>
      </c>
      <c r="F137" s="138" t="str">
        <f t="shared" si="6"/>
        <v>Date check - OK</v>
      </c>
      <c r="H137" s="147" t="s">
        <v>190</v>
      </c>
      <c r="I137" s="148">
        <v>2304.2068742359793</v>
      </c>
      <c r="J137" s="141">
        <f>IF(OR(M137="metres",M137="pipe"),INDEX('Scheme cost allocation'!$D$21:$D$42,MATCH(IF(MONTH(E137)&lt;7,YEAR(E137),YEAR(E137)+1),'Scheme cost allocation'!$C$21:$C$42,0))*'Scheme cost allocation'!$J$21,'Scheme cost allocation'!$J$21)</f>
        <v>0.45855079888177602</v>
      </c>
      <c r="L137" s="148">
        <v>10.943980674300001</v>
      </c>
      <c r="M137" s="149" t="s">
        <v>191</v>
      </c>
      <c r="N137" s="148">
        <v>8474.252533314313</v>
      </c>
      <c r="O137" s="143">
        <f t="shared" si="4"/>
        <v>92742.055953729665</v>
      </c>
      <c r="P137" s="144">
        <f t="shared" si="7"/>
        <v>42526.943847521114</v>
      </c>
    </row>
    <row r="138" spans="3:16" x14ac:dyDescent="0.2">
      <c r="C138" s="145"/>
      <c r="D138" s="146" t="s">
        <v>220</v>
      </c>
      <c r="E138" s="137">
        <v>34516</v>
      </c>
      <c r="F138" s="138" t="str">
        <f t="shared" si="6"/>
        <v>Date check - OK</v>
      </c>
      <c r="H138" s="147" t="s">
        <v>190</v>
      </c>
      <c r="I138" s="148">
        <v>2304.2068742359793</v>
      </c>
      <c r="J138" s="141">
        <f>IF(OR(M138="metres",M138="pipe"),INDEX('Scheme cost allocation'!$D$21:$D$42,MATCH(IF(MONTH(E138)&lt;7,YEAR(E138),YEAR(E138)+1),'Scheme cost allocation'!$C$21:$C$42,0))*'Scheme cost allocation'!$J$21,'Scheme cost allocation'!$J$21)</f>
        <v>0.45855079888177602</v>
      </c>
      <c r="L138" s="148">
        <v>8.4410598860599997</v>
      </c>
      <c r="M138" s="149" t="s">
        <v>191</v>
      </c>
      <c r="N138" s="148">
        <v>15688.759778124508</v>
      </c>
      <c r="O138" s="143">
        <f t="shared" si="4"/>
        <v>132429.76082515836</v>
      </c>
      <c r="P138" s="144">
        <f t="shared" si="7"/>
        <v>60725.772622098892</v>
      </c>
    </row>
    <row r="139" spans="3:16" x14ac:dyDescent="0.2">
      <c r="C139" s="145"/>
      <c r="D139" s="146" t="s">
        <v>218</v>
      </c>
      <c r="E139" s="137">
        <v>34516</v>
      </c>
      <c r="F139" s="138" t="str">
        <f t="shared" si="6"/>
        <v>Date check - OK</v>
      </c>
      <c r="H139" s="147" t="s">
        <v>190</v>
      </c>
      <c r="I139" s="148">
        <v>2304.2068742359793</v>
      </c>
      <c r="J139" s="141">
        <f>IF(OR(M139="metres",M139="pipe"),INDEX('Scheme cost allocation'!$D$21:$D$42,MATCH(IF(MONTH(E139)&lt;7,YEAR(E139),YEAR(E139)+1),'Scheme cost allocation'!$C$21:$C$42,0))*'Scheme cost allocation'!$J$21,'Scheme cost allocation'!$J$21)</f>
        <v>0.45855079888177602</v>
      </c>
      <c r="L139" s="148">
        <v>41.550305528000003</v>
      </c>
      <c r="M139" s="149" t="s">
        <v>191</v>
      </c>
      <c r="N139" s="148">
        <v>15688.759778124509</v>
      </c>
      <c r="O139" s="143">
        <f t="shared" si="4"/>
        <v>651872.76213647088</v>
      </c>
      <c r="P139" s="144">
        <f t="shared" si="7"/>
        <v>298916.77584694867</v>
      </c>
    </row>
    <row r="140" spans="3:16" x14ac:dyDescent="0.2">
      <c r="C140" s="145"/>
      <c r="D140" s="146" t="s">
        <v>218</v>
      </c>
      <c r="E140" s="137">
        <v>34516</v>
      </c>
      <c r="F140" s="138" t="str">
        <f t="shared" si="6"/>
        <v>Date check - OK</v>
      </c>
      <c r="H140" s="147" t="s">
        <v>190</v>
      </c>
      <c r="I140" s="148">
        <v>2304.2068742359793</v>
      </c>
      <c r="J140" s="141">
        <f>IF(OR(M140="metres",M140="pipe"),INDEX('Scheme cost allocation'!$D$21:$D$42,MATCH(IF(MONTH(E140)&lt;7,YEAR(E140),YEAR(E140)+1),'Scheme cost allocation'!$C$21:$C$42,0))*'Scheme cost allocation'!$J$21,'Scheme cost allocation'!$J$21)</f>
        <v>0.45855079888177602</v>
      </c>
      <c r="L140" s="148">
        <v>41.523685780000001</v>
      </c>
      <c r="M140" s="149" t="s">
        <v>191</v>
      </c>
      <c r="N140" s="148">
        <v>15688.759778124509</v>
      </c>
      <c r="O140" s="143">
        <f t="shared" si="4"/>
        <v>651455.13130474463</v>
      </c>
      <c r="P140" s="144">
        <f t="shared" si="7"/>
        <v>298725.27089542296</v>
      </c>
    </row>
    <row r="141" spans="3:16" x14ac:dyDescent="0.2">
      <c r="C141" s="145"/>
      <c r="D141" s="146" t="s">
        <v>193</v>
      </c>
      <c r="E141" s="137">
        <v>34881</v>
      </c>
      <c r="F141" s="138" t="str">
        <f t="shared" si="6"/>
        <v>Date check - OK</v>
      </c>
      <c r="H141" s="147" t="s">
        <v>190</v>
      </c>
      <c r="I141" s="148">
        <v>2304.2068742359793</v>
      </c>
      <c r="J141" s="141">
        <f>IF(OR(M141="metres",M141="pipe"),INDEX('Scheme cost allocation'!$D$21:$D$42,MATCH(IF(MONTH(E141)&lt;7,YEAR(E141),YEAR(E141)+1),'Scheme cost allocation'!$C$21:$C$42,0))*'Scheme cost allocation'!$J$21,'Scheme cost allocation'!$J$21)</f>
        <v>0.13039018586456833</v>
      </c>
      <c r="L141" s="148">
        <v>76.0813806532</v>
      </c>
      <c r="M141" s="149" t="s">
        <v>191</v>
      </c>
      <c r="N141" s="148">
        <v>14279.1564372052</v>
      </c>
      <c r="O141" s="143">
        <f t="shared" si="4"/>
        <v>1086377.9363056</v>
      </c>
      <c r="P141" s="144">
        <f t="shared" si="7"/>
        <v>141653.02103405335</v>
      </c>
    </row>
    <row r="142" spans="3:16" x14ac:dyDescent="0.2">
      <c r="C142" s="145"/>
      <c r="D142" s="146" t="s">
        <v>193</v>
      </c>
      <c r="E142" s="137">
        <v>34881</v>
      </c>
      <c r="F142" s="138" t="str">
        <f t="shared" si="6"/>
        <v>Date check - OK</v>
      </c>
      <c r="H142" s="147" t="s">
        <v>190</v>
      </c>
      <c r="I142" s="148">
        <v>2304.2068742359793</v>
      </c>
      <c r="J142" s="141">
        <f>IF(OR(M142="metres",M142="pipe"),INDEX('Scheme cost allocation'!$D$21:$D$42,MATCH(IF(MONTH(E142)&lt;7,YEAR(E142),YEAR(E142)+1),'Scheme cost allocation'!$C$21:$C$42,0))*'Scheme cost allocation'!$J$21,'Scheme cost allocation'!$J$21)</f>
        <v>0.13039018586456833</v>
      </c>
      <c r="L142" s="148">
        <v>73.078180398800001</v>
      </c>
      <c r="M142" s="149" t="s">
        <v>191</v>
      </c>
      <c r="N142" s="148">
        <v>14279.1564372052</v>
      </c>
      <c r="O142" s="143">
        <f t="shared" si="4"/>
        <v>1043494.7700607679</v>
      </c>
      <c r="P142" s="144">
        <f t="shared" si="7"/>
        <v>136061.47701692852</v>
      </c>
    </row>
    <row r="143" spans="3:16" x14ac:dyDescent="0.2">
      <c r="C143" s="145"/>
      <c r="D143" s="146" t="s">
        <v>195</v>
      </c>
      <c r="E143" s="137">
        <v>34516</v>
      </c>
      <c r="F143" s="138" t="str">
        <f t="shared" si="6"/>
        <v>Date check - OK</v>
      </c>
      <c r="H143" s="147" t="s">
        <v>190</v>
      </c>
      <c r="I143" s="148">
        <v>2304.2068742359793</v>
      </c>
      <c r="J143" s="141">
        <f>IF(OR(M143="metres",M143="pipe"),INDEX('Scheme cost allocation'!$D$21:$D$42,MATCH(IF(MONTH(E143)&lt;7,YEAR(E143),YEAR(E143)+1),'Scheme cost allocation'!$C$21:$C$42,0))*'Scheme cost allocation'!$J$21,'Scheme cost allocation'!$J$21)</f>
        <v>0.45855079888177602</v>
      </c>
      <c r="L143" s="148">
        <v>52.503673947599999</v>
      </c>
      <c r="M143" s="149" t="s">
        <v>191</v>
      </c>
      <c r="N143" s="148">
        <v>4346.9768907523503</v>
      </c>
      <c r="O143" s="143">
        <f t="shared" si="4"/>
        <v>228232.25732981344</v>
      </c>
      <c r="P143" s="144">
        <f t="shared" si="7"/>
        <v>104656.08392917704</v>
      </c>
    </row>
    <row r="144" spans="3:16" x14ac:dyDescent="0.2">
      <c r="C144" s="145"/>
      <c r="D144" s="146" t="s">
        <v>198</v>
      </c>
      <c r="E144" s="137">
        <v>34881</v>
      </c>
      <c r="F144" s="138" t="str">
        <f t="shared" si="6"/>
        <v>Date check - OK</v>
      </c>
      <c r="H144" s="147" t="s">
        <v>190</v>
      </c>
      <c r="I144" s="148">
        <v>2304.2068742359793</v>
      </c>
      <c r="J144" s="141">
        <f>IF(OR(M144="metres",M144="pipe"),INDEX('Scheme cost allocation'!$D$21:$D$42,MATCH(IF(MONTH(E144)&lt;7,YEAR(E144),YEAR(E144)+1),'Scheme cost allocation'!$C$21:$C$42,0))*'Scheme cost allocation'!$J$21,'Scheme cost allocation'!$J$21)</f>
        <v>0.13039018586456833</v>
      </c>
      <c r="L144" s="148">
        <v>6.0428341860400003</v>
      </c>
      <c r="M144" s="149" t="s">
        <v>191</v>
      </c>
      <c r="N144" s="148">
        <v>14279.1564372052</v>
      </c>
      <c r="O144" s="143">
        <f t="shared" si="4"/>
        <v>86286.574666556713</v>
      </c>
      <c r="P144" s="144">
        <f t="shared" si="7"/>
        <v>11250.922508389283</v>
      </c>
    </row>
    <row r="145" spans="3:16" x14ac:dyDescent="0.2">
      <c r="C145" s="145"/>
      <c r="D145" s="146" t="s">
        <v>211</v>
      </c>
      <c r="E145" s="137">
        <v>34516</v>
      </c>
      <c r="F145" s="138" t="str">
        <f t="shared" si="6"/>
        <v>Date check - OK</v>
      </c>
      <c r="H145" s="147" t="s">
        <v>190</v>
      </c>
      <c r="I145" s="148">
        <v>2304.2068742359793</v>
      </c>
      <c r="J145" s="141">
        <f>IF(OR(M145="metres",M145="pipe"),INDEX('Scheme cost allocation'!$D$21:$D$42,MATCH(IF(MONTH(E145)&lt;7,YEAR(E145),YEAR(E145)+1),'Scheme cost allocation'!$C$21:$C$42,0))*'Scheme cost allocation'!$J$21,'Scheme cost allocation'!$J$21)</f>
        <v>0.45855079888177602</v>
      </c>
      <c r="L145" s="148">
        <v>5.3996004481800002</v>
      </c>
      <c r="M145" s="149" t="s">
        <v>191</v>
      </c>
      <c r="N145" s="148">
        <v>3996.536336679088</v>
      </c>
      <c r="O145" s="143">
        <f t="shared" si="4"/>
        <v>21579.699394700059</v>
      </c>
      <c r="P145" s="144">
        <f t="shared" si="7"/>
        <v>9895.3883970682909</v>
      </c>
    </row>
    <row r="146" spans="3:16" x14ac:dyDescent="0.2">
      <c r="C146" s="145"/>
      <c r="D146" s="146" t="s">
        <v>195</v>
      </c>
      <c r="E146" s="137">
        <v>34516</v>
      </c>
      <c r="F146" s="138" t="str">
        <f t="shared" si="6"/>
        <v>Date check - OK</v>
      </c>
      <c r="H146" s="147" t="s">
        <v>190</v>
      </c>
      <c r="I146" s="148">
        <v>2304.2068742359793</v>
      </c>
      <c r="J146" s="141">
        <f>IF(OR(M146="metres",M146="pipe"),INDEX('Scheme cost allocation'!$D$21:$D$42,MATCH(IF(MONTH(E146)&lt;7,YEAR(E146),YEAR(E146)+1),'Scheme cost allocation'!$C$21:$C$42,0))*'Scheme cost allocation'!$J$21,'Scheme cost allocation'!$J$21)</f>
        <v>0.45855079888177602</v>
      </c>
      <c r="L146" s="148">
        <v>62.220103961699998</v>
      </c>
      <c r="M146" s="149" t="s">
        <v>191</v>
      </c>
      <c r="N146" s="148">
        <v>4346.9768907523503</v>
      </c>
      <c r="O146" s="143">
        <f t="shared" si="4"/>
        <v>270469.35406171862</v>
      </c>
      <c r="P146" s="144">
        <f t="shared" si="7"/>
        <v>124023.93837803901</v>
      </c>
    </row>
    <row r="147" spans="3:16" x14ac:dyDescent="0.2">
      <c r="C147" s="145"/>
      <c r="D147" s="146" t="s">
        <v>195</v>
      </c>
      <c r="E147" s="137">
        <v>34516</v>
      </c>
      <c r="F147" s="138" t="str">
        <f t="shared" si="6"/>
        <v>Date check - OK</v>
      </c>
      <c r="H147" s="147" t="s">
        <v>190</v>
      </c>
      <c r="I147" s="148">
        <v>2304.2068742359793</v>
      </c>
      <c r="J147" s="141">
        <f>IF(OR(M147="metres",M147="pipe"),INDEX('Scheme cost allocation'!$D$21:$D$42,MATCH(IF(MONTH(E147)&lt;7,YEAR(E147),YEAR(E147)+1),'Scheme cost allocation'!$C$21:$C$42,0))*'Scheme cost allocation'!$J$21,'Scheme cost allocation'!$J$21)</f>
        <v>0.45855079888177602</v>
      </c>
      <c r="L147" s="148">
        <v>4.0177039462900002</v>
      </c>
      <c r="M147" s="149" t="s">
        <v>191</v>
      </c>
      <c r="N147" s="148">
        <v>4346.9768907523503</v>
      </c>
      <c r="O147" s="143">
        <f t="shared" si="4"/>
        <v>17464.866208407151</v>
      </c>
      <c r="P147" s="144">
        <f t="shared" si="7"/>
        <v>8008.5283522284335</v>
      </c>
    </row>
    <row r="148" spans="3:16" ht="22.8" x14ac:dyDescent="0.2">
      <c r="C148" s="145"/>
      <c r="D148" s="146" t="s">
        <v>206</v>
      </c>
      <c r="E148" s="137">
        <v>34516</v>
      </c>
      <c r="F148" s="138" t="str">
        <f t="shared" si="6"/>
        <v>Date check - OK</v>
      </c>
      <c r="H148" s="147" t="s">
        <v>190</v>
      </c>
      <c r="I148" s="148">
        <v>2304.2068742359793</v>
      </c>
      <c r="J148" s="141">
        <f>IF(OR(M148="metres",M148="pipe"),INDEX('Scheme cost allocation'!$D$21:$D$42,MATCH(IF(MONTH(E148)&lt;7,YEAR(E148),YEAR(E148)+1),'Scheme cost allocation'!$C$21:$C$42,0))*'Scheme cost allocation'!$J$21,'Scheme cost allocation'!$J$21)</f>
        <v>0.45855079888177602</v>
      </c>
      <c r="L148" s="148">
        <v>3.79995210496</v>
      </c>
      <c r="M148" s="149" t="s">
        <v>191</v>
      </c>
      <c r="N148" s="148">
        <v>12640.012639217795</v>
      </c>
      <c r="O148" s="143">
        <f t="shared" si="4"/>
        <v>48031.442635116669</v>
      </c>
      <c r="P148" s="144">
        <f t="shared" si="7"/>
        <v>22024.856391776946</v>
      </c>
    </row>
    <row r="149" spans="3:16" ht="22.8" x14ac:dyDescent="0.2">
      <c r="C149" s="145"/>
      <c r="D149" s="146" t="s">
        <v>206</v>
      </c>
      <c r="E149" s="137">
        <v>34516</v>
      </c>
      <c r="F149" s="138" t="str">
        <f t="shared" si="6"/>
        <v>Date check - OK</v>
      </c>
      <c r="H149" s="147" t="s">
        <v>190</v>
      </c>
      <c r="I149" s="148">
        <v>2304.2068742359793</v>
      </c>
      <c r="J149" s="141">
        <f>IF(OR(M149="metres",M149="pipe"),INDEX('Scheme cost allocation'!$D$21:$D$42,MATCH(IF(MONTH(E149)&lt;7,YEAR(E149),YEAR(E149)+1),'Scheme cost allocation'!$C$21:$C$42,0))*'Scheme cost allocation'!$J$21,'Scheme cost allocation'!$J$21)</f>
        <v>0.45855079888177602</v>
      </c>
      <c r="L149" s="148">
        <v>4.30593462561</v>
      </c>
      <c r="M149" s="149" t="s">
        <v>191</v>
      </c>
      <c r="N149" s="148">
        <v>12640.012639217797</v>
      </c>
      <c r="O149" s="143">
        <f t="shared" si="4"/>
        <v>54427.068091355955</v>
      </c>
      <c r="P149" s="144">
        <f t="shared" si="7"/>
        <v>24957.575554084095</v>
      </c>
    </row>
    <row r="150" spans="3:16" x14ac:dyDescent="0.2">
      <c r="C150" s="145"/>
      <c r="D150" s="146" t="s">
        <v>195</v>
      </c>
      <c r="E150" s="137">
        <v>34516</v>
      </c>
      <c r="F150" s="138" t="str">
        <f t="shared" si="6"/>
        <v>Date check - OK</v>
      </c>
      <c r="H150" s="147" t="s">
        <v>190</v>
      </c>
      <c r="I150" s="148">
        <v>2304.2068742359793</v>
      </c>
      <c r="J150" s="141">
        <f>IF(OR(M150="metres",M150="pipe"),INDEX('Scheme cost allocation'!$D$21:$D$42,MATCH(IF(MONTH(E150)&lt;7,YEAR(E150),YEAR(E150)+1),'Scheme cost allocation'!$C$21:$C$42,0))*'Scheme cost allocation'!$J$21,'Scheme cost allocation'!$J$21)</f>
        <v>0.45855079888177602</v>
      </c>
      <c r="L150" s="148">
        <v>19.549895651899998</v>
      </c>
      <c r="M150" s="149" t="s">
        <v>191</v>
      </c>
      <c r="N150" s="148">
        <v>4346.9768907523503</v>
      </c>
      <c r="O150" s="143">
        <f t="shared" si="4"/>
        <v>84982.944615429151</v>
      </c>
      <c r="P150" s="144">
        <f t="shared" si="7"/>
        <v>38968.997144730762</v>
      </c>
    </row>
    <row r="151" spans="3:16" x14ac:dyDescent="0.2">
      <c r="C151" s="145"/>
      <c r="D151" s="146" t="s">
        <v>221</v>
      </c>
      <c r="E151" s="137">
        <v>34516</v>
      </c>
      <c r="F151" s="138" t="str">
        <f t="shared" si="6"/>
        <v>Date check - OK</v>
      </c>
      <c r="H151" s="147" t="s">
        <v>190</v>
      </c>
      <c r="I151" s="148">
        <v>2304.2068742359793</v>
      </c>
      <c r="J151" s="141">
        <f>IF(OR(M151="metres",M151="pipe"),INDEX('Scheme cost allocation'!$D$21:$D$42,MATCH(IF(MONTH(E151)&lt;7,YEAR(E151),YEAR(E151)+1),'Scheme cost allocation'!$C$21:$C$42,0))*'Scheme cost allocation'!$J$21,'Scheme cost allocation'!$J$21)</f>
        <v>0.45855079888177602</v>
      </c>
      <c r="L151" s="148">
        <v>31.483667372700001</v>
      </c>
      <c r="M151" s="149" t="s">
        <v>191</v>
      </c>
      <c r="N151" s="148">
        <v>13135.819213941928</v>
      </c>
      <c r="O151" s="143">
        <f t="shared" ref="O151:O214" si="8">IF(N151="","-",L151*N151)</f>
        <v>413563.76279966923</v>
      </c>
      <c r="P151" s="144">
        <f t="shared" si="7"/>
        <v>189639.99382034165</v>
      </c>
    </row>
    <row r="152" spans="3:16" x14ac:dyDescent="0.2">
      <c r="C152" s="145"/>
      <c r="D152" s="146" t="s">
        <v>194</v>
      </c>
      <c r="E152" s="137">
        <v>34516</v>
      </c>
      <c r="F152" s="138" t="str">
        <f t="shared" si="6"/>
        <v>Date check - OK</v>
      </c>
      <c r="H152" s="147" t="s">
        <v>190</v>
      </c>
      <c r="I152" s="148">
        <v>2304.2068742359793</v>
      </c>
      <c r="J152" s="141">
        <f>IF(OR(M152="metres",M152="pipe"),INDEX('Scheme cost allocation'!$D$21:$D$42,MATCH(IF(MONTH(E152)&lt;7,YEAR(E152),YEAR(E152)+1),'Scheme cost allocation'!$C$21:$C$42,0))*'Scheme cost allocation'!$J$21,'Scheme cost allocation'!$J$21)</f>
        <v>0.45855079888177602</v>
      </c>
      <c r="L152" s="148">
        <v>35.710099457399998</v>
      </c>
      <c r="M152" s="149" t="s">
        <v>191</v>
      </c>
      <c r="N152" s="148">
        <v>13135.819213941928</v>
      </c>
      <c r="O152" s="143">
        <f t="shared" si="8"/>
        <v>469081.41058429214</v>
      </c>
      <c r="P152" s="144">
        <f t="shared" si="7"/>
        <v>215097.65556401754</v>
      </c>
    </row>
    <row r="153" spans="3:16" x14ac:dyDescent="0.2">
      <c r="C153" s="145"/>
      <c r="D153" s="146" t="s">
        <v>194</v>
      </c>
      <c r="E153" s="137">
        <v>34516</v>
      </c>
      <c r="F153" s="138" t="str">
        <f t="shared" si="6"/>
        <v>Date check - OK</v>
      </c>
      <c r="H153" s="147" t="s">
        <v>190</v>
      </c>
      <c r="I153" s="148">
        <v>2304.2068742359793</v>
      </c>
      <c r="J153" s="141">
        <f>IF(OR(M153="metres",M153="pipe"),INDEX('Scheme cost allocation'!$D$21:$D$42,MATCH(IF(MONTH(E153)&lt;7,YEAR(E153),YEAR(E153)+1),'Scheme cost allocation'!$C$21:$C$42,0))*'Scheme cost allocation'!$J$21,'Scheme cost allocation'!$J$21)</f>
        <v>0.45855079888177602</v>
      </c>
      <c r="L153" s="148">
        <v>35.657810507199997</v>
      </c>
      <c r="M153" s="149" t="s">
        <v>191</v>
      </c>
      <c r="N153" s="148">
        <v>13135.81921394193</v>
      </c>
      <c r="O153" s="143">
        <f t="shared" si="8"/>
        <v>468394.55238757812</v>
      </c>
      <c r="P153" s="144">
        <f t="shared" si="7"/>
        <v>214782.69618919585</v>
      </c>
    </row>
    <row r="154" spans="3:16" ht="22.8" x14ac:dyDescent="0.2">
      <c r="C154" s="145"/>
      <c r="D154" s="146" t="s">
        <v>200</v>
      </c>
      <c r="E154" s="137">
        <v>34516</v>
      </c>
      <c r="F154" s="138" t="str">
        <f t="shared" si="6"/>
        <v>Date check - OK</v>
      </c>
      <c r="H154" s="147" t="s">
        <v>190</v>
      </c>
      <c r="I154" s="148">
        <v>2304.2068742359793</v>
      </c>
      <c r="J154" s="141">
        <f>IF(OR(M154="metres",M154="pipe"),INDEX('Scheme cost allocation'!$D$21:$D$42,MATCH(IF(MONTH(E154)&lt;7,YEAR(E154),YEAR(E154)+1),'Scheme cost allocation'!$C$21:$C$42,0))*'Scheme cost allocation'!$J$21,'Scheme cost allocation'!$J$21)</f>
        <v>0.45855079888177602</v>
      </c>
      <c r="L154" s="148">
        <v>41.613696191000003</v>
      </c>
      <c r="M154" s="149" t="s">
        <v>191</v>
      </c>
      <c r="N154" s="148">
        <v>429.06517328691257</v>
      </c>
      <c r="O154" s="143">
        <f t="shared" si="8"/>
        <v>17854.98776730035</v>
      </c>
      <c r="P154" s="144">
        <f t="shared" si="7"/>
        <v>8187.4189047199143</v>
      </c>
    </row>
    <row r="155" spans="3:16" x14ac:dyDescent="0.2">
      <c r="C155" s="145"/>
      <c r="D155" s="146" t="s">
        <v>222</v>
      </c>
      <c r="E155" s="137">
        <v>34516</v>
      </c>
      <c r="F155" s="138" t="str">
        <f t="shared" si="6"/>
        <v>Date check - OK</v>
      </c>
      <c r="H155" s="147" t="s">
        <v>190</v>
      </c>
      <c r="I155" s="148">
        <v>2304.2068742359793</v>
      </c>
      <c r="J155" s="141">
        <f>IF(OR(M155="metres",M155="pipe"),INDEX('Scheme cost allocation'!$D$21:$D$42,MATCH(IF(MONTH(E155)&lt;7,YEAR(E155),YEAR(E155)+1),'Scheme cost allocation'!$C$21:$C$42,0))*'Scheme cost allocation'!$J$21,'Scheme cost allocation'!$J$21)</f>
        <v>0.45855079888177602</v>
      </c>
      <c r="L155" s="148">
        <v>29.3903566155</v>
      </c>
      <c r="M155" s="149" t="s">
        <v>191</v>
      </c>
      <c r="N155" s="148">
        <v>12361.239751155113</v>
      </c>
      <c r="O155" s="143">
        <f t="shared" si="8"/>
        <v>363301.24449614325</v>
      </c>
      <c r="P155" s="144">
        <f t="shared" si="7"/>
        <v>166592.07589844993</v>
      </c>
    </row>
    <row r="156" spans="3:16" x14ac:dyDescent="0.2">
      <c r="C156" s="145"/>
      <c r="D156" s="146" t="s">
        <v>222</v>
      </c>
      <c r="E156" s="137">
        <v>34516</v>
      </c>
      <c r="F156" s="138" t="str">
        <f t="shared" si="6"/>
        <v>Date check - OK</v>
      </c>
      <c r="H156" s="147" t="s">
        <v>190</v>
      </c>
      <c r="I156" s="148">
        <v>2304.2068742359793</v>
      </c>
      <c r="J156" s="141">
        <f>IF(OR(M156="metres",M156="pipe"),INDEX('Scheme cost allocation'!$D$21:$D$42,MATCH(IF(MONTH(E156)&lt;7,YEAR(E156),YEAR(E156)+1),'Scheme cost allocation'!$C$21:$C$42,0))*'Scheme cost allocation'!$J$21,'Scheme cost allocation'!$J$21)</f>
        <v>0.45855079888177602</v>
      </c>
      <c r="L156" s="148">
        <v>29.005609004099998</v>
      </c>
      <c r="M156" s="149" t="s">
        <v>191</v>
      </c>
      <c r="N156" s="148">
        <v>12361.239751155112</v>
      </c>
      <c r="O156" s="143">
        <f t="shared" si="8"/>
        <v>358545.28702794353</v>
      </c>
      <c r="P156" s="144">
        <f t="shared" si="7"/>
        <v>164411.2278019592</v>
      </c>
    </row>
    <row r="157" spans="3:16" x14ac:dyDescent="0.2">
      <c r="C157" s="145"/>
      <c r="D157" s="146" t="s">
        <v>222</v>
      </c>
      <c r="E157" s="137">
        <v>34516</v>
      </c>
      <c r="F157" s="138" t="str">
        <f t="shared" si="6"/>
        <v>Date check - OK</v>
      </c>
      <c r="H157" s="147" t="s">
        <v>190</v>
      </c>
      <c r="I157" s="148">
        <v>2304.2068742359793</v>
      </c>
      <c r="J157" s="141">
        <f>IF(OR(M157="metres",M157="pipe"),INDEX('Scheme cost allocation'!$D$21:$D$42,MATCH(IF(MONTH(E157)&lt;7,YEAR(E157),YEAR(E157)+1),'Scheme cost allocation'!$C$21:$C$42,0))*'Scheme cost allocation'!$J$21,'Scheme cost allocation'!$J$21)</f>
        <v>0.45855079888177602</v>
      </c>
      <c r="L157" s="148">
        <v>2.5376165983100001</v>
      </c>
      <c r="M157" s="149" t="s">
        <v>191</v>
      </c>
      <c r="N157" s="148">
        <v>12361.239751155113</v>
      </c>
      <c r="O157" s="143">
        <f t="shared" si="8"/>
        <v>31368.087168220591</v>
      </c>
      <c r="P157" s="144">
        <f t="shared" si="7"/>
        <v>14383.861430380739</v>
      </c>
    </row>
    <row r="158" spans="3:16" x14ac:dyDescent="0.2">
      <c r="C158" s="145"/>
      <c r="D158" s="146" t="s">
        <v>223</v>
      </c>
      <c r="E158" s="137">
        <v>34516</v>
      </c>
      <c r="F158" s="138" t="str">
        <f t="shared" si="6"/>
        <v>Date check - OK</v>
      </c>
      <c r="H158" s="147" t="s">
        <v>190</v>
      </c>
      <c r="I158" s="148">
        <v>2304.2068742359793</v>
      </c>
      <c r="J158" s="141">
        <f>IF(OR(M158="metres",M158="pipe"),INDEX('Scheme cost allocation'!$D$21:$D$42,MATCH(IF(MONTH(E158)&lt;7,YEAR(E158),YEAR(E158)+1),'Scheme cost allocation'!$C$21:$C$42,0))*'Scheme cost allocation'!$J$21,'Scheme cost allocation'!$J$21)</f>
        <v>0.45855079888177602</v>
      </c>
      <c r="L158" s="148">
        <v>25.324653101199999</v>
      </c>
      <c r="M158" s="149" t="s">
        <v>191</v>
      </c>
      <c r="N158" s="148">
        <v>12534.815585388144</v>
      </c>
      <c r="O158" s="143">
        <f t="shared" si="8"/>
        <v>317439.85638746992</v>
      </c>
      <c r="P158" s="144">
        <f t="shared" si="7"/>
        <v>145562.29974339058</v>
      </c>
    </row>
    <row r="159" spans="3:16" x14ac:dyDescent="0.2">
      <c r="C159" s="145"/>
      <c r="D159" s="146" t="s">
        <v>223</v>
      </c>
      <c r="E159" s="137">
        <v>34516</v>
      </c>
      <c r="F159" s="138" t="str">
        <f t="shared" si="6"/>
        <v>Date check - OK</v>
      </c>
      <c r="H159" s="147" t="s">
        <v>190</v>
      </c>
      <c r="I159" s="148">
        <v>2304.2068742359793</v>
      </c>
      <c r="J159" s="141">
        <f>IF(OR(M159="metres",M159="pipe"),INDEX('Scheme cost allocation'!$D$21:$D$42,MATCH(IF(MONTH(E159)&lt;7,YEAR(E159),YEAR(E159)+1),'Scheme cost allocation'!$C$21:$C$42,0))*'Scheme cost allocation'!$J$21,'Scheme cost allocation'!$J$21)</f>
        <v>0.45855079888177602</v>
      </c>
      <c r="L159" s="148">
        <v>25.3313112455</v>
      </c>
      <c r="M159" s="149" t="s">
        <v>191</v>
      </c>
      <c r="N159" s="148">
        <v>12534.815585388142</v>
      </c>
      <c r="O159" s="143">
        <f t="shared" si="8"/>
        <v>317523.31499841128</v>
      </c>
      <c r="P159" s="144">
        <f t="shared" si="7"/>
        <v>145600.5697561113</v>
      </c>
    </row>
    <row r="160" spans="3:16" ht="22.8" x14ac:dyDescent="0.2">
      <c r="C160" s="145"/>
      <c r="D160" s="146" t="s">
        <v>224</v>
      </c>
      <c r="E160" s="137">
        <v>34516</v>
      </c>
      <c r="F160" s="138" t="str">
        <f t="shared" si="6"/>
        <v>Date check - OK</v>
      </c>
      <c r="H160" s="147" t="s">
        <v>190</v>
      </c>
      <c r="I160" s="148">
        <v>2304.2068742359793</v>
      </c>
      <c r="J160" s="141">
        <f>IF(OR(M160="metres",M160="pipe"),INDEX('Scheme cost allocation'!$D$21:$D$42,MATCH(IF(MONTH(E160)&lt;7,YEAR(E160),YEAR(E160)+1),'Scheme cost allocation'!$C$21:$C$42,0))*'Scheme cost allocation'!$J$21,'Scheme cost allocation'!$J$21)</f>
        <v>0.45855079888177602</v>
      </c>
      <c r="L160" s="148">
        <v>12.502318065100001</v>
      </c>
      <c r="M160" s="149" t="s">
        <v>191</v>
      </c>
      <c r="N160" s="148">
        <v>13901.488916567916</v>
      </c>
      <c r="O160" s="143">
        <f t="shared" si="8"/>
        <v>173800.8360133945</v>
      </c>
      <c r="P160" s="144">
        <f t="shared" si="7"/>
        <v>79696.512200262601</v>
      </c>
    </row>
    <row r="161" spans="3:16" ht="22.8" x14ac:dyDescent="0.2">
      <c r="C161" s="145"/>
      <c r="D161" s="146" t="s">
        <v>224</v>
      </c>
      <c r="E161" s="137">
        <v>34516</v>
      </c>
      <c r="F161" s="138" t="str">
        <f t="shared" si="6"/>
        <v>Date check - OK</v>
      </c>
      <c r="H161" s="147" t="s">
        <v>190</v>
      </c>
      <c r="I161" s="148">
        <v>2304.2068742359793</v>
      </c>
      <c r="J161" s="141">
        <f>IF(OR(M161="metres",M161="pipe"),INDEX('Scheme cost allocation'!$D$21:$D$42,MATCH(IF(MONTH(E161)&lt;7,YEAR(E161),YEAR(E161)+1),'Scheme cost allocation'!$C$21:$C$42,0))*'Scheme cost allocation'!$J$21,'Scheme cost allocation'!$J$21)</f>
        <v>0.45855079888177602</v>
      </c>
      <c r="L161" s="148">
        <v>17.320240904799999</v>
      </c>
      <c r="M161" s="149" t="s">
        <v>191</v>
      </c>
      <c r="N161" s="148">
        <v>13901.488916567914</v>
      </c>
      <c r="O161" s="143">
        <f t="shared" si="8"/>
        <v>240777.13697036341</v>
      </c>
      <c r="P161" s="144">
        <f t="shared" si="7"/>
        <v>110408.54851022694</v>
      </c>
    </row>
    <row r="162" spans="3:16" x14ac:dyDescent="0.2">
      <c r="C162" s="145"/>
      <c r="D162" s="146" t="s">
        <v>225</v>
      </c>
      <c r="E162" s="137">
        <v>34516</v>
      </c>
      <c r="F162" s="138" t="str">
        <f t="shared" si="6"/>
        <v>Date check - OK</v>
      </c>
      <c r="H162" s="147" t="s">
        <v>190</v>
      </c>
      <c r="I162" s="148">
        <v>2304.2068742359793</v>
      </c>
      <c r="J162" s="141">
        <f>IF(OR(M162="metres",M162="pipe"),INDEX('Scheme cost allocation'!$D$21:$D$42,MATCH(IF(MONTH(E162)&lt;7,YEAR(E162),YEAR(E162)+1),'Scheme cost allocation'!$C$21:$C$42,0))*'Scheme cost allocation'!$J$21,'Scheme cost allocation'!$J$21)</f>
        <v>0.45855079888177602</v>
      </c>
      <c r="L162" s="148">
        <v>16.147972318499999</v>
      </c>
      <c r="M162" s="149" t="s">
        <v>191</v>
      </c>
      <c r="N162" s="148">
        <v>2126.4492237904265</v>
      </c>
      <c r="O162" s="143">
        <f t="shared" si="8"/>
        <v>34337.843202463613</v>
      </c>
      <c r="P162" s="144">
        <f t="shared" si="7"/>
        <v>15745.645432366851</v>
      </c>
    </row>
    <row r="163" spans="3:16" x14ac:dyDescent="0.2">
      <c r="C163" s="145"/>
      <c r="D163" s="146" t="s">
        <v>218</v>
      </c>
      <c r="E163" s="137">
        <v>34516</v>
      </c>
      <c r="F163" s="138" t="str">
        <f t="shared" si="6"/>
        <v>Date check - OK</v>
      </c>
      <c r="H163" s="147" t="s">
        <v>190</v>
      </c>
      <c r="I163" s="148">
        <v>2304.2068742359793</v>
      </c>
      <c r="J163" s="141">
        <f>IF(OR(M163="metres",M163="pipe"),INDEX('Scheme cost allocation'!$D$21:$D$42,MATCH(IF(MONTH(E163)&lt;7,YEAR(E163),YEAR(E163)+1),'Scheme cost allocation'!$C$21:$C$42,0))*'Scheme cost allocation'!$J$21,'Scheme cost allocation'!$J$21)</f>
        <v>0.45855079888177602</v>
      </c>
      <c r="L163" s="148">
        <v>3.389556196</v>
      </c>
      <c r="M163" s="149" t="s">
        <v>191</v>
      </c>
      <c r="N163" s="148">
        <v>15688.759778124506</v>
      </c>
      <c r="O163" s="143">
        <f t="shared" si="8"/>
        <v>53177.932913497505</v>
      </c>
      <c r="P163" s="144">
        <f t="shared" si="7"/>
        <v>24384.783620365772</v>
      </c>
    </row>
    <row r="164" spans="3:16" x14ac:dyDescent="0.2">
      <c r="C164" s="145"/>
      <c r="D164" s="146" t="s">
        <v>226</v>
      </c>
      <c r="E164" s="137">
        <v>34516</v>
      </c>
      <c r="F164" s="138" t="str">
        <f t="shared" si="6"/>
        <v>Date check - OK</v>
      </c>
      <c r="H164" s="147" t="s">
        <v>190</v>
      </c>
      <c r="I164" s="148">
        <v>2304.2068742359793</v>
      </c>
      <c r="J164" s="141">
        <f>IF(OR(M164="metres",M164="pipe"),INDEX('Scheme cost allocation'!$D$21:$D$42,MATCH(IF(MONTH(E164)&lt;7,YEAR(E164),YEAR(E164)+1),'Scheme cost allocation'!$C$21:$C$42,0))*'Scheme cost allocation'!$J$21,'Scheme cost allocation'!$J$21)</f>
        <v>0.45855079888177602</v>
      </c>
      <c r="L164" s="148">
        <v>14.0946480978</v>
      </c>
      <c r="M164" s="149" t="s">
        <v>191</v>
      </c>
      <c r="N164" s="148">
        <v>11750.418594570365</v>
      </c>
      <c r="O164" s="143">
        <f t="shared" si="8"/>
        <v>165618.01509231495</v>
      </c>
      <c r="P164" s="144">
        <f t="shared" si="7"/>
        <v>75944.273129795052</v>
      </c>
    </row>
    <row r="165" spans="3:16" x14ac:dyDescent="0.2">
      <c r="C165" s="145"/>
      <c r="D165" s="146" t="s">
        <v>215</v>
      </c>
      <c r="E165" s="137">
        <v>34881</v>
      </c>
      <c r="F165" s="138" t="str">
        <f t="shared" si="6"/>
        <v>Date check - OK</v>
      </c>
      <c r="H165" s="147" t="s">
        <v>190</v>
      </c>
      <c r="I165" s="148">
        <v>2304.2068742359793</v>
      </c>
      <c r="J165" s="141">
        <f>IF(OR(M165="metres",M165="pipe"),INDEX('Scheme cost allocation'!$D$21:$D$42,MATCH(IF(MONTH(E165)&lt;7,YEAR(E165),YEAR(E165)+1),'Scheme cost allocation'!$C$21:$C$42,0))*'Scheme cost allocation'!$J$21,'Scheme cost allocation'!$J$21)</f>
        <v>0.13039018586456833</v>
      </c>
      <c r="L165" s="148">
        <v>24.9403607106</v>
      </c>
      <c r="M165" s="149" t="s">
        <v>191</v>
      </c>
      <c r="N165" s="148">
        <v>5553.7670880991827</v>
      </c>
      <c r="O165" s="143">
        <f t="shared" si="8"/>
        <v>138512.95447985223</v>
      </c>
      <c r="P165" s="144">
        <f t="shared" si="7"/>
        <v>18060.729879278424</v>
      </c>
    </row>
    <row r="166" spans="3:16" x14ac:dyDescent="0.2">
      <c r="C166" s="145"/>
      <c r="D166" s="146" t="s">
        <v>198</v>
      </c>
      <c r="E166" s="137">
        <v>34881</v>
      </c>
      <c r="F166" s="138" t="str">
        <f t="shared" si="6"/>
        <v>Date check - OK</v>
      </c>
      <c r="H166" s="147" t="s">
        <v>190</v>
      </c>
      <c r="I166" s="148">
        <v>2304.2068742359793</v>
      </c>
      <c r="J166" s="141">
        <f>IF(OR(M166="metres",M166="pipe"),INDEX('Scheme cost allocation'!$D$21:$D$42,MATCH(IF(MONTH(E166)&lt;7,YEAR(E166),YEAR(E166)+1),'Scheme cost allocation'!$C$21:$C$42,0))*'Scheme cost allocation'!$J$21,'Scheme cost allocation'!$J$21)</f>
        <v>0.13039018586456833</v>
      </c>
      <c r="L166" s="148">
        <v>4.2473062051100001</v>
      </c>
      <c r="M166" s="149" t="s">
        <v>191</v>
      </c>
      <c r="N166" s="148">
        <v>14279.1564372052</v>
      </c>
      <c r="O166" s="143">
        <f t="shared" si="8"/>
        <v>60647.949739478048</v>
      </c>
      <c r="P166" s="144">
        <f t="shared" si="7"/>
        <v>7907.8974388355409</v>
      </c>
    </row>
    <row r="167" spans="3:16" x14ac:dyDescent="0.2">
      <c r="C167" s="145"/>
      <c r="D167" s="146" t="s">
        <v>195</v>
      </c>
      <c r="E167" s="137">
        <v>34516</v>
      </c>
      <c r="F167" s="138" t="str">
        <f t="shared" si="6"/>
        <v>Date check - OK</v>
      </c>
      <c r="H167" s="147" t="s">
        <v>190</v>
      </c>
      <c r="I167" s="148">
        <v>2304.2068742359793</v>
      </c>
      <c r="J167" s="141">
        <f>IF(OR(M167="metres",M167="pipe"),INDEX('Scheme cost allocation'!$D$21:$D$42,MATCH(IF(MONTH(E167)&lt;7,YEAR(E167),YEAR(E167)+1),'Scheme cost allocation'!$C$21:$C$42,0))*'Scheme cost allocation'!$J$21,'Scheme cost allocation'!$J$21)</f>
        <v>0.45855079888177602</v>
      </c>
      <c r="L167" s="148">
        <v>0.32919295253699998</v>
      </c>
      <c r="M167" s="149" t="s">
        <v>191</v>
      </c>
      <c r="N167" s="148">
        <v>4346.9768907523503</v>
      </c>
      <c r="O167" s="143">
        <f t="shared" si="8"/>
        <v>1430.9941572768741</v>
      </c>
      <c r="P167" s="144">
        <f t="shared" si="7"/>
        <v>656.18351401446444</v>
      </c>
    </row>
    <row r="168" spans="3:16" ht="22.8" x14ac:dyDescent="0.2">
      <c r="C168" s="145"/>
      <c r="D168" s="146" t="s">
        <v>202</v>
      </c>
      <c r="E168" s="137">
        <v>34516</v>
      </c>
      <c r="F168" s="138" t="str">
        <f t="shared" si="6"/>
        <v>Date check - OK</v>
      </c>
      <c r="H168" s="147" t="s">
        <v>190</v>
      </c>
      <c r="I168" s="148">
        <v>2304.2068742359793</v>
      </c>
      <c r="J168" s="141">
        <f>IF(OR(M168="metres",M168="pipe"),INDEX('Scheme cost allocation'!$D$21:$D$42,MATCH(IF(MONTH(E168)&lt;7,YEAR(E168),YEAR(E168)+1),'Scheme cost allocation'!$C$21:$C$42,0))*'Scheme cost allocation'!$J$21,'Scheme cost allocation'!$J$21)</f>
        <v>0.45855079888177602</v>
      </c>
      <c r="L168" s="148">
        <v>109.95897001100001</v>
      </c>
      <c r="M168" s="149" t="s">
        <v>191</v>
      </c>
      <c r="N168" s="148">
        <v>12640.012639217797</v>
      </c>
      <c r="O168" s="143">
        <f t="shared" si="8"/>
        <v>1389882.7707344107</v>
      </c>
      <c r="P168" s="144">
        <f t="shared" si="7"/>
        <v>637331.85487228038</v>
      </c>
    </row>
    <row r="169" spans="3:16" ht="22.8" x14ac:dyDescent="0.2">
      <c r="C169" s="145"/>
      <c r="D169" s="146" t="s">
        <v>227</v>
      </c>
      <c r="E169" s="137">
        <v>34516</v>
      </c>
      <c r="F169" s="138" t="str">
        <f t="shared" si="6"/>
        <v>Date check - OK</v>
      </c>
      <c r="H169" s="147" t="s">
        <v>190</v>
      </c>
      <c r="I169" s="148">
        <v>2304.2068742359793</v>
      </c>
      <c r="J169" s="141">
        <f>IF(OR(M169="metres",M169="pipe"),INDEX('Scheme cost allocation'!$D$21:$D$42,MATCH(IF(MONTH(E169)&lt;7,YEAR(E169),YEAR(E169)+1),'Scheme cost allocation'!$C$21:$C$42,0))*'Scheme cost allocation'!$J$21,'Scheme cost allocation'!$J$21)</f>
        <v>0.45855079888177602</v>
      </c>
      <c r="L169" s="148">
        <v>28.369775165299998</v>
      </c>
      <c r="M169" s="149" t="s">
        <v>191</v>
      </c>
      <c r="N169" s="148">
        <v>10996.071034776953</v>
      </c>
      <c r="O169" s="143">
        <f t="shared" si="8"/>
        <v>311956.06295828987</v>
      </c>
      <c r="P169" s="144">
        <f t="shared" si="7"/>
        <v>143047.70188553745</v>
      </c>
    </row>
    <row r="170" spans="3:16" ht="22.8" x14ac:dyDescent="0.2">
      <c r="C170" s="145"/>
      <c r="D170" s="146" t="s">
        <v>227</v>
      </c>
      <c r="E170" s="137">
        <v>34516</v>
      </c>
      <c r="F170" s="138" t="str">
        <f t="shared" si="6"/>
        <v>Date check - OK</v>
      </c>
      <c r="H170" s="147" t="s">
        <v>190</v>
      </c>
      <c r="I170" s="148">
        <v>2304.2068742359793</v>
      </c>
      <c r="J170" s="141">
        <f>IF(OR(M170="metres",M170="pipe"),INDEX('Scheme cost allocation'!$D$21:$D$42,MATCH(IF(MONTH(E170)&lt;7,YEAR(E170),YEAR(E170)+1),'Scheme cost allocation'!$C$21:$C$42,0))*'Scheme cost allocation'!$J$21,'Scheme cost allocation'!$J$21)</f>
        <v>0.45855079888177602</v>
      </c>
      <c r="L170" s="148">
        <v>22.6101422194</v>
      </c>
      <c r="M170" s="149" t="s">
        <v>191</v>
      </c>
      <c r="N170" s="148">
        <v>10996.071034776955</v>
      </c>
      <c r="O170" s="143">
        <f t="shared" si="8"/>
        <v>248622.72995093185</v>
      </c>
      <c r="P170" s="144">
        <f t="shared" si="7"/>
        <v>114006.15143916786</v>
      </c>
    </row>
    <row r="171" spans="3:16" ht="22.8" x14ac:dyDescent="0.2">
      <c r="C171" s="145"/>
      <c r="D171" s="146" t="s">
        <v>227</v>
      </c>
      <c r="E171" s="137">
        <v>34516</v>
      </c>
      <c r="F171" s="138" t="str">
        <f t="shared" si="6"/>
        <v>Date check - OK</v>
      </c>
      <c r="H171" s="147" t="s">
        <v>190</v>
      </c>
      <c r="I171" s="148">
        <v>2304.2068742359793</v>
      </c>
      <c r="J171" s="141">
        <f>IF(OR(M171="metres",M171="pipe"),INDEX('Scheme cost allocation'!$D$21:$D$42,MATCH(IF(MONTH(E171)&lt;7,YEAR(E171),YEAR(E171)+1),'Scheme cost allocation'!$C$21:$C$42,0))*'Scheme cost allocation'!$J$21,'Scheme cost allocation'!$J$21)</f>
        <v>0.45855079888177602</v>
      </c>
      <c r="L171" s="148">
        <v>68.638776270899996</v>
      </c>
      <c r="M171" s="149" t="s">
        <v>191</v>
      </c>
      <c r="N171" s="148">
        <v>10996.071034776955</v>
      </c>
      <c r="O171" s="143">
        <f t="shared" si="8"/>
        <v>754756.85961497924</v>
      </c>
      <c r="P171" s="144">
        <f t="shared" si="7"/>
        <v>346094.36093794921</v>
      </c>
    </row>
    <row r="172" spans="3:16" ht="22.8" x14ac:dyDescent="0.2">
      <c r="C172" s="145"/>
      <c r="D172" s="146" t="s">
        <v>227</v>
      </c>
      <c r="E172" s="137">
        <v>34516</v>
      </c>
      <c r="F172" s="138" t="str">
        <f t="shared" si="6"/>
        <v>Date check - OK</v>
      </c>
      <c r="H172" s="147" t="s">
        <v>190</v>
      </c>
      <c r="I172" s="148">
        <v>2304.2068742359793</v>
      </c>
      <c r="J172" s="141">
        <f>IF(OR(M172="metres",M172="pipe"),INDEX('Scheme cost allocation'!$D$21:$D$42,MATCH(IF(MONTH(E172)&lt;7,YEAR(E172),YEAR(E172)+1),'Scheme cost allocation'!$C$21:$C$42,0))*'Scheme cost allocation'!$J$21,'Scheme cost allocation'!$J$21)</f>
        <v>0.45855079888177602</v>
      </c>
      <c r="L172" s="148">
        <v>59.875545849200002</v>
      </c>
      <c r="M172" s="149" t="s">
        <v>191</v>
      </c>
      <c r="N172" s="148">
        <v>10996.071034776955</v>
      </c>
      <c r="O172" s="143">
        <f t="shared" si="8"/>
        <v>658395.75540384767</v>
      </c>
      <c r="P172" s="144">
        <f t="shared" si="7"/>
        <v>301907.89962080476</v>
      </c>
    </row>
    <row r="173" spans="3:16" ht="22.8" x14ac:dyDescent="0.2">
      <c r="C173" s="145"/>
      <c r="D173" s="146" t="s">
        <v>227</v>
      </c>
      <c r="E173" s="137">
        <v>34516</v>
      </c>
      <c r="F173" s="138" t="str">
        <f t="shared" si="6"/>
        <v>Date check - OK</v>
      </c>
      <c r="H173" s="147" t="s">
        <v>190</v>
      </c>
      <c r="I173" s="148">
        <v>2304.2068742359793</v>
      </c>
      <c r="J173" s="141">
        <f>IF(OR(M173="metres",M173="pipe"),INDEX('Scheme cost allocation'!$D$21:$D$42,MATCH(IF(MONTH(E173)&lt;7,YEAR(E173),YEAR(E173)+1),'Scheme cost allocation'!$C$21:$C$42,0))*'Scheme cost allocation'!$J$21,'Scheme cost allocation'!$J$21)</f>
        <v>0.45855079888177602</v>
      </c>
      <c r="L173" s="148">
        <v>45.892484082000003</v>
      </c>
      <c r="M173" s="149" t="s">
        <v>191</v>
      </c>
      <c r="N173" s="148">
        <v>10996.071034776955</v>
      </c>
      <c r="O173" s="143">
        <f t="shared" si="8"/>
        <v>504637.01492804271</v>
      </c>
      <c r="P173" s="144">
        <f t="shared" si="7"/>
        <v>231401.70634056872</v>
      </c>
    </row>
    <row r="174" spans="3:16" ht="22.8" x14ac:dyDescent="0.2">
      <c r="C174" s="145"/>
      <c r="D174" s="146" t="s">
        <v>227</v>
      </c>
      <c r="E174" s="137">
        <v>34516</v>
      </c>
      <c r="F174" s="138" t="str">
        <f t="shared" si="6"/>
        <v>Date check - OK</v>
      </c>
      <c r="H174" s="147" t="s">
        <v>190</v>
      </c>
      <c r="I174" s="148">
        <v>2304.2068742359793</v>
      </c>
      <c r="J174" s="141">
        <f>IF(OR(M174="metres",M174="pipe"),INDEX('Scheme cost allocation'!$D$21:$D$42,MATCH(IF(MONTH(E174)&lt;7,YEAR(E174),YEAR(E174)+1),'Scheme cost allocation'!$C$21:$C$42,0))*'Scheme cost allocation'!$J$21,'Scheme cost allocation'!$J$21)</f>
        <v>0.45855079888177602</v>
      </c>
      <c r="L174" s="148">
        <v>53.094186252</v>
      </c>
      <c r="M174" s="149" t="s">
        <v>191</v>
      </c>
      <c r="N174" s="148">
        <v>10996.071034776955</v>
      </c>
      <c r="O174" s="143">
        <f t="shared" si="8"/>
        <v>583827.44356067001</v>
      </c>
      <c r="P174" s="144">
        <f t="shared" si="7"/>
        <v>267714.54065385024</v>
      </c>
    </row>
    <row r="175" spans="3:16" ht="22.8" x14ac:dyDescent="0.2">
      <c r="C175" s="145"/>
      <c r="D175" s="146" t="s">
        <v>227</v>
      </c>
      <c r="E175" s="137">
        <v>34516</v>
      </c>
      <c r="F175" s="138" t="str">
        <f t="shared" si="6"/>
        <v>Date check - OK</v>
      </c>
      <c r="H175" s="147" t="s">
        <v>190</v>
      </c>
      <c r="I175" s="148">
        <v>2304.2068742359793</v>
      </c>
      <c r="J175" s="141">
        <f>IF(OR(M175="metres",M175="pipe"),INDEX('Scheme cost allocation'!$D$21:$D$42,MATCH(IF(MONTH(E175)&lt;7,YEAR(E175),YEAR(E175)+1),'Scheme cost allocation'!$C$21:$C$42,0))*'Scheme cost allocation'!$J$21,'Scheme cost allocation'!$J$21)</f>
        <v>0.45855079888177602</v>
      </c>
      <c r="L175" s="148">
        <v>69.533847306799998</v>
      </c>
      <c r="M175" s="149" t="s">
        <v>191</v>
      </c>
      <c r="N175" s="148">
        <v>10996.071034776953</v>
      </c>
      <c r="O175" s="143">
        <f t="shared" si="8"/>
        <v>764599.12430690683</v>
      </c>
      <c r="P175" s="144">
        <f t="shared" si="7"/>
        <v>350607.53927523852</v>
      </c>
    </row>
    <row r="176" spans="3:16" ht="22.8" x14ac:dyDescent="0.2">
      <c r="C176" s="145"/>
      <c r="D176" s="146" t="s">
        <v>227</v>
      </c>
      <c r="E176" s="137">
        <v>34516</v>
      </c>
      <c r="F176" s="138" t="str">
        <f t="shared" si="6"/>
        <v>Date check - OK</v>
      </c>
      <c r="H176" s="147" t="s">
        <v>190</v>
      </c>
      <c r="I176" s="148">
        <v>2304.2068742359793</v>
      </c>
      <c r="J176" s="141">
        <f>IF(OR(M176="metres",M176="pipe"),INDEX('Scheme cost allocation'!$D$21:$D$42,MATCH(IF(MONTH(E176)&lt;7,YEAR(E176),YEAR(E176)+1),'Scheme cost allocation'!$C$21:$C$42,0))*'Scheme cost allocation'!$J$21,'Scheme cost allocation'!$J$21)</f>
        <v>0.45855079888177602</v>
      </c>
      <c r="L176" s="148">
        <v>73.567659489299999</v>
      </c>
      <c r="M176" s="149" t="s">
        <v>191</v>
      </c>
      <c r="N176" s="148">
        <v>10996.071034776953</v>
      </c>
      <c r="O176" s="143">
        <f t="shared" si="8"/>
        <v>808955.20960662549</v>
      </c>
      <c r="P176" s="144">
        <f t="shared" si="7"/>
        <v>370947.05762469268</v>
      </c>
    </row>
    <row r="177" spans="3:16" ht="22.8" x14ac:dyDescent="0.2">
      <c r="C177" s="145"/>
      <c r="D177" s="146" t="s">
        <v>227</v>
      </c>
      <c r="E177" s="137">
        <v>34516</v>
      </c>
      <c r="F177" s="138" t="str">
        <f t="shared" si="6"/>
        <v>Date check - OK</v>
      </c>
      <c r="H177" s="147" t="s">
        <v>190</v>
      </c>
      <c r="I177" s="148">
        <v>2304.2068742359793</v>
      </c>
      <c r="J177" s="141">
        <f>IF(OR(M177="metres",M177="pipe"),INDEX('Scheme cost allocation'!$D$21:$D$42,MATCH(IF(MONTH(E177)&lt;7,YEAR(E177),YEAR(E177)+1),'Scheme cost allocation'!$C$21:$C$42,0))*'Scheme cost allocation'!$J$21,'Scheme cost allocation'!$J$21)</f>
        <v>0.45855079888177602</v>
      </c>
      <c r="L177" s="148">
        <v>51.290150097500003</v>
      </c>
      <c r="M177" s="149" t="s">
        <v>191</v>
      </c>
      <c r="N177" s="148">
        <v>10996.071034776953</v>
      </c>
      <c r="O177" s="143">
        <f t="shared" si="8"/>
        <v>563990.13385648211</v>
      </c>
      <c r="P177" s="144">
        <f t="shared" si="7"/>
        <v>258618.12644132966</v>
      </c>
    </row>
    <row r="178" spans="3:16" ht="22.8" x14ac:dyDescent="0.2">
      <c r="C178" s="145"/>
      <c r="D178" s="146" t="s">
        <v>227</v>
      </c>
      <c r="E178" s="137">
        <v>34516</v>
      </c>
      <c r="F178" s="138" t="str">
        <f t="shared" si="6"/>
        <v>Date check - OK</v>
      </c>
      <c r="H178" s="147" t="s">
        <v>190</v>
      </c>
      <c r="I178" s="148">
        <v>2304.2068742359793</v>
      </c>
      <c r="J178" s="141">
        <f>IF(OR(M178="metres",M178="pipe"),INDEX('Scheme cost allocation'!$D$21:$D$42,MATCH(IF(MONTH(E178)&lt;7,YEAR(E178),YEAR(E178)+1),'Scheme cost allocation'!$C$21:$C$42,0))*'Scheme cost allocation'!$J$21,'Scheme cost allocation'!$J$21)</f>
        <v>0.45855079888177602</v>
      </c>
      <c r="L178" s="148">
        <v>49.153099116200003</v>
      </c>
      <c r="M178" s="149" t="s">
        <v>191</v>
      </c>
      <c r="N178" s="148">
        <v>10996.071034776955</v>
      </c>
      <c r="O178" s="143">
        <f t="shared" si="8"/>
        <v>540490.96946116758</v>
      </c>
      <c r="P178" s="144">
        <f t="shared" si="7"/>
        <v>247842.565834804</v>
      </c>
    </row>
    <row r="179" spans="3:16" ht="22.8" x14ac:dyDescent="0.2">
      <c r="C179" s="145"/>
      <c r="D179" s="146" t="s">
        <v>227</v>
      </c>
      <c r="E179" s="137">
        <v>34516</v>
      </c>
      <c r="F179" s="138" t="str">
        <f t="shared" si="6"/>
        <v>Date check - OK</v>
      </c>
      <c r="H179" s="147" t="s">
        <v>190</v>
      </c>
      <c r="I179" s="148">
        <v>2304.2068742359793</v>
      </c>
      <c r="J179" s="141">
        <f>IF(OR(M179="metres",M179="pipe"),INDEX('Scheme cost allocation'!$D$21:$D$42,MATCH(IF(MONTH(E179)&lt;7,YEAR(E179),YEAR(E179)+1),'Scheme cost allocation'!$C$21:$C$42,0))*'Scheme cost allocation'!$J$21,'Scheme cost allocation'!$J$21)</f>
        <v>0.45855079888177602</v>
      </c>
      <c r="L179" s="148">
        <v>45.749121848000001</v>
      </c>
      <c r="M179" s="149" t="s">
        <v>191</v>
      </c>
      <c r="N179" s="148">
        <v>10996.071034776955</v>
      </c>
      <c r="O179" s="143">
        <f t="shared" si="8"/>
        <v>503060.59361927438</v>
      </c>
      <c r="P179" s="144">
        <f t="shared" si="7"/>
        <v>230678.83709005875</v>
      </c>
    </row>
    <row r="180" spans="3:16" ht="22.8" x14ac:dyDescent="0.2">
      <c r="C180" s="145"/>
      <c r="D180" s="146" t="s">
        <v>227</v>
      </c>
      <c r="E180" s="137">
        <v>34516</v>
      </c>
      <c r="F180" s="138" t="str">
        <f t="shared" si="6"/>
        <v>Date check - OK</v>
      </c>
      <c r="H180" s="147" t="s">
        <v>190</v>
      </c>
      <c r="I180" s="148">
        <v>2304.2068742359793</v>
      </c>
      <c r="J180" s="141">
        <f>IF(OR(M180="metres",M180="pipe"),INDEX('Scheme cost allocation'!$D$21:$D$42,MATCH(IF(MONTH(E180)&lt;7,YEAR(E180),YEAR(E180)+1),'Scheme cost allocation'!$C$21:$C$42,0))*'Scheme cost allocation'!$J$21,'Scheme cost allocation'!$J$21)</f>
        <v>0.45855079888177602</v>
      </c>
      <c r="L180" s="148">
        <v>4.6649006951300001</v>
      </c>
      <c r="M180" s="149" t="s">
        <v>191</v>
      </c>
      <c r="N180" s="148">
        <v>10996.071034776955</v>
      </c>
      <c r="O180" s="143">
        <f t="shared" si="8"/>
        <v>51295.579413829873</v>
      </c>
      <c r="P180" s="144">
        <f t="shared" si="7"/>
        <v>23521.628919315273</v>
      </c>
    </row>
    <row r="181" spans="3:16" ht="22.8" x14ac:dyDescent="0.2">
      <c r="C181" s="145"/>
      <c r="D181" s="146" t="s">
        <v>224</v>
      </c>
      <c r="E181" s="137">
        <v>34516</v>
      </c>
      <c r="F181" s="138" t="str">
        <f t="shared" si="6"/>
        <v>Date check - OK</v>
      </c>
      <c r="H181" s="147" t="s">
        <v>190</v>
      </c>
      <c r="I181" s="148">
        <v>2304.2068742359793</v>
      </c>
      <c r="J181" s="141">
        <f>IF(OR(M181="metres",M181="pipe"),INDEX('Scheme cost allocation'!$D$21:$D$42,MATCH(IF(MONTH(E181)&lt;7,YEAR(E181),YEAR(E181)+1),'Scheme cost allocation'!$C$21:$C$42,0))*'Scheme cost allocation'!$J$21,'Scheme cost allocation'!$J$21)</f>
        <v>0.45855079888177602</v>
      </c>
      <c r="L181" s="148">
        <v>8.3589988071899999</v>
      </c>
      <c r="M181" s="149" t="s">
        <v>191</v>
      </c>
      <c r="N181" s="148">
        <v>13901.488916567916</v>
      </c>
      <c r="O181" s="143">
        <f t="shared" si="8"/>
        <v>116202.52927175621</v>
      </c>
      <c r="P181" s="144">
        <f t="shared" si="7"/>
        <v>53284.762629646772</v>
      </c>
    </row>
    <row r="182" spans="3:16" ht="22.8" x14ac:dyDescent="0.2">
      <c r="C182" s="145"/>
      <c r="D182" s="146" t="s">
        <v>224</v>
      </c>
      <c r="E182" s="137">
        <v>34516</v>
      </c>
      <c r="F182" s="138" t="str">
        <f t="shared" si="6"/>
        <v>Date check - OK</v>
      </c>
      <c r="H182" s="147" t="s">
        <v>190</v>
      </c>
      <c r="I182" s="148">
        <v>2304.2068742359793</v>
      </c>
      <c r="J182" s="141">
        <f>IF(OR(M182="metres",M182="pipe"),INDEX('Scheme cost allocation'!$D$21:$D$42,MATCH(IF(MONTH(E182)&lt;7,YEAR(E182),YEAR(E182)+1),'Scheme cost allocation'!$C$21:$C$42,0))*'Scheme cost allocation'!$J$21,'Scheme cost allocation'!$J$21)</f>
        <v>0.45855079888177602</v>
      </c>
      <c r="L182" s="148">
        <v>52.679057409400002</v>
      </c>
      <c r="M182" s="149" t="s">
        <v>191</v>
      </c>
      <c r="N182" s="148">
        <v>13901.488916567916</v>
      </c>
      <c r="O182" s="143">
        <f t="shared" si="8"/>
        <v>732317.3327120191</v>
      </c>
      <c r="P182" s="144">
        <f t="shared" si="7"/>
        <v>335804.6979500677</v>
      </c>
    </row>
    <row r="183" spans="3:16" ht="22.8" x14ac:dyDescent="0.2">
      <c r="C183" s="145"/>
      <c r="D183" s="146" t="s">
        <v>224</v>
      </c>
      <c r="E183" s="137">
        <v>34516</v>
      </c>
      <c r="F183" s="138" t="str">
        <f t="shared" si="6"/>
        <v>Date check - OK</v>
      </c>
      <c r="H183" s="147" t="s">
        <v>190</v>
      </c>
      <c r="I183" s="148">
        <v>2304.2068742359793</v>
      </c>
      <c r="J183" s="141">
        <f>IF(OR(M183="metres",M183="pipe"),INDEX('Scheme cost allocation'!$D$21:$D$42,MATCH(IF(MONTH(E183)&lt;7,YEAR(E183),YEAR(E183)+1),'Scheme cost allocation'!$C$21:$C$42,0))*'Scheme cost allocation'!$J$21,'Scheme cost allocation'!$J$21)</f>
        <v>0.45855079888177602</v>
      </c>
      <c r="L183" s="148">
        <v>74.572530246599996</v>
      </c>
      <c r="M183" s="149" t="s">
        <v>191</v>
      </c>
      <c r="N183" s="148">
        <v>13901.488916567914</v>
      </c>
      <c r="O183" s="143">
        <f t="shared" si="8"/>
        <v>1036669.2027035354</v>
      </c>
      <c r="P183" s="144">
        <f t="shared" si="7"/>
        <v>475365.49107583996</v>
      </c>
    </row>
    <row r="184" spans="3:16" ht="22.8" x14ac:dyDescent="0.2">
      <c r="C184" s="145"/>
      <c r="D184" s="146" t="s">
        <v>224</v>
      </c>
      <c r="E184" s="137">
        <v>34516</v>
      </c>
      <c r="F184" s="138" t="str">
        <f t="shared" ref="F184:F241" si="9">IF(E184="","-",IF(OR(E184&lt;$E$15,E184&gt;$E$16),"ERROR - date outside of range","Date check - OK"))</f>
        <v>Date check - OK</v>
      </c>
      <c r="H184" s="147" t="s">
        <v>190</v>
      </c>
      <c r="I184" s="148">
        <v>2304.2068742359793</v>
      </c>
      <c r="J184" s="141">
        <f>IF(OR(M184="metres",M184="pipe"),INDEX('Scheme cost allocation'!$D$21:$D$42,MATCH(IF(MONTH(E184)&lt;7,YEAR(E184),YEAR(E184)+1),'Scheme cost allocation'!$C$21:$C$42,0))*'Scheme cost allocation'!$J$21,'Scheme cost allocation'!$J$21)</f>
        <v>0.45855079888177602</v>
      </c>
      <c r="L184" s="148">
        <v>73.806157281300003</v>
      </c>
      <c r="M184" s="149" t="s">
        <v>191</v>
      </c>
      <c r="N184" s="148">
        <v>13901.488916567916</v>
      </c>
      <c r="O184" s="143">
        <f t="shared" si="8"/>
        <v>1026015.4774204604</v>
      </c>
      <c r="P184" s="144">
        <f t="shared" ref="P184:P240" si="10">IF(O184="-","-",IF(OR(E184&lt;$E$15,E184&gt;$E$16),0,O184*J184))</f>
        <v>470480.21683621895</v>
      </c>
    </row>
    <row r="185" spans="3:16" ht="22.8" x14ac:dyDescent="0.2">
      <c r="C185" s="145"/>
      <c r="D185" s="146" t="s">
        <v>224</v>
      </c>
      <c r="E185" s="137">
        <v>34516</v>
      </c>
      <c r="F185" s="138" t="str">
        <f t="shared" si="9"/>
        <v>Date check - OK</v>
      </c>
      <c r="H185" s="147" t="s">
        <v>190</v>
      </c>
      <c r="I185" s="148">
        <v>2304.2068742359793</v>
      </c>
      <c r="J185" s="141">
        <f>IF(OR(M185="metres",M185="pipe"),INDEX('Scheme cost allocation'!$D$21:$D$42,MATCH(IF(MONTH(E185)&lt;7,YEAR(E185),YEAR(E185)+1),'Scheme cost allocation'!$C$21:$C$42,0))*'Scheme cost allocation'!$J$21,'Scheme cost allocation'!$J$21)</f>
        <v>0.45855079888177602</v>
      </c>
      <c r="L185" s="148">
        <v>48.4935791176</v>
      </c>
      <c r="M185" s="149" t="s">
        <v>191</v>
      </c>
      <c r="N185" s="148">
        <v>13901.488916567914</v>
      </c>
      <c r="O185" s="143">
        <f t="shared" si="8"/>
        <v>674132.95262802567</v>
      </c>
      <c r="P185" s="144">
        <f t="shared" si="10"/>
        <v>309124.20398011163</v>
      </c>
    </row>
    <row r="186" spans="3:16" ht="22.8" x14ac:dyDescent="0.2">
      <c r="C186" s="145"/>
      <c r="D186" s="146" t="s">
        <v>224</v>
      </c>
      <c r="E186" s="137">
        <v>34516</v>
      </c>
      <c r="F186" s="138" t="str">
        <f t="shared" si="9"/>
        <v>Date check - OK</v>
      </c>
      <c r="H186" s="147" t="s">
        <v>190</v>
      </c>
      <c r="I186" s="148">
        <v>2304.2068742359793</v>
      </c>
      <c r="J186" s="141">
        <f>IF(OR(M186="metres",M186="pipe"),INDEX('Scheme cost allocation'!$D$21:$D$42,MATCH(IF(MONTH(E186)&lt;7,YEAR(E186),YEAR(E186)+1),'Scheme cost allocation'!$C$21:$C$42,0))*'Scheme cost allocation'!$J$21,'Scheme cost allocation'!$J$21)</f>
        <v>0.45855079888177602</v>
      </c>
      <c r="L186" s="148">
        <v>45.070030497300003</v>
      </c>
      <c r="M186" s="149" t="s">
        <v>191</v>
      </c>
      <c r="N186" s="148">
        <v>13901.488916567916</v>
      </c>
      <c r="O186" s="143">
        <f t="shared" si="8"/>
        <v>626540.52942759392</v>
      </c>
      <c r="P186" s="144">
        <f t="shared" si="10"/>
        <v>287300.6603008341</v>
      </c>
    </row>
    <row r="187" spans="3:16" ht="22.8" x14ac:dyDescent="0.2">
      <c r="C187" s="145"/>
      <c r="D187" s="146" t="s">
        <v>228</v>
      </c>
      <c r="E187" s="137">
        <v>34516</v>
      </c>
      <c r="F187" s="138" t="str">
        <f t="shared" si="9"/>
        <v>Date check - OK</v>
      </c>
      <c r="H187" s="147" t="s">
        <v>190</v>
      </c>
      <c r="I187" s="148">
        <v>2304.2068742359793</v>
      </c>
      <c r="J187" s="141">
        <f>IF(OR(M187="metres",M187="pipe"),INDEX('Scheme cost allocation'!$D$21:$D$42,MATCH(IF(MONTH(E187)&lt;7,YEAR(E187),YEAR(E187)+1),'Scheme cost allocation'!$C$21:$C$42,0))*'Scheme cost allocation'!$J$21,'Scheme cost allocation'!$J$21)</f>
        <v>0.45855079888177602</v>
      </c>
      <c r="L187" s="148">
        <v>101.93207384500001</v>
      </c>
      <c r="M187" s="149" t="s">
        <v>191</v>
      </c>
      <c r="N187" s="148">
        <v>10996.071034776955</v>
      </c>
      <c r="O187" s="143">
        <f t="shared" si="8"/>
        <v>1120852.3247217501</v>
      </c>
      <c r="P187" s="144">
        <f t="shared" si="10"/>
        <v>513967.72892965435</v>
      </c>
    </row>
    <row r="188" spans="3:16" ht="22.8" x14ac:dyDescent="0.2">
      <c r="C188" s="145"/>
      <c r="D188" s="146" t="s">
        <v>228</v>
      </c>
      <c r="E188" s="137">
        <v>34516</v>
      </c>
      <c r="F188" s="138" t="str">
        <f t="shared" si="9"/>
        <v>Date check - OK</v>
      </c>
      <c r="H188" s="147" t="s">
        <v>190</v>
      </c>
      <c r="I188" s="148">
        <v>2304.2068742359793</v>
      </c>
      <c r="J188" s="141">
        <f>IF(OR(M188="metres",M188="pipe"),INDEX('Scheme cost allocation'!$D$21:$D$42,MATCH(IF(MONTH(E188)&lt;7,YEAR(E188),YEAR(E188)+1),'Scheme cost allocation'!$C$21:$C$42,0))*'Scheme cost allocation'!$J$21,'Scheme cost allocation'!$J$21)</f>
        <v>0.45855079888177602</v>
      </c>
      <c r="L188" s="148">
        <v>99.594027889200007</v>
      </c>
      <c r="M188" s="149" t="s">
        <v>191</v>
      </c>
      <c r="N188" s="148">
        <v>10996.071034776955</v>
      </c>
      <c r="O188" s="143">
        <f t="shared" si="8"/>
        <v>1095143.0053092004</v>
      </c>
      <c r="P188" s="144">
        <f t="shared" si="10"/>
        <v>502178.69997432292</v>
      </c>
    </row>
    <row r="189" spans="3:16" ht="22.8" x14ac:dyDescent="0.2">
      <c r="C189" s="145"/>
      <c r="D189" s="146" t="s">
        <v>228</v>
      </c>
      <c r="E189" s="137">
        <v>34516</v>
      </c>
      <c r="F189" s="138" t="str">
        <f t="shared" si="9"/>
        <v>Date check - OK</v>
      </c>
      <c r="H189" s="147" t="s">
        <v>190</v>
      </c>
      <c r="I189" s="148">
        <v>2304.2068742359793</v>
      </c>
      <c r="J189" s="141">
        <f>IF(OR(M189="metres",M189="pipe"),INDEX('Scheme cost allocation'!$D$21:$D$42,MATCH(IF(MONTH(E189)&lt;7,YEAR(E189),YEAR(E189)+1),'Scheme cost allocation'!$C$21:$C$42,0))*'Scheme cost allocation'!$J$21,'Scheme cost allocation'!$J$21)</f>
        <v>0.45855079888177602</v>
      </c>
      <c r="L189" s="148">
        <v>99.595138825000006</v>
      </c>
      <c r="M189" s="149" t="s">
        <v>191</v>
      </c>
      <c r="N189" s="148">
        <v>10996.071034776953</v>
      </c>
      <c r="O189" s="143">
        <f t="shared" si="8"/>
        <v>1095155.2212381721</v>
      </c>
      <c r="P189" s="144">
        <f t="shared" si="10"/>
        <v>502184.30159831198</v>
      </c>
    </row>
    <row r="190" spans="3:16" ht="22.8" x14ac:dyDescent="0.2">
      <c r="C190" s="145"/>
      <c r="D190" s="146" t="s">
        <v>228</v>
      </c>
      <c r="E190" s="137">
        <v>34516</v>
      </c>
      <c r="F190" s="138" t="str">
        <f t="shared" si="9"/>
        <v>Date check - OK</v>
      </c>
      <c r="H190" s="147" t="s">
        <v>190</v>
      </c>
      <c r="I190" s="148">
        <v>2304.2068742359793</v>
      </c>
      <c r="J190" s="141">
        <f>IF(OR(M190="metres",M190="pipe"),INDEX('Scheme cost allocation'!$D$21:$D$42,MATCH(IF(MONTH(E190)&lt;7,YEAR(E190),YEAR(E190)+1),'Scheme cost allocation'!$C$21:$C$42,0))*'Scheme cost allocation'!$J$21,'Scheme cost allocation'!$J$21)</f>
        <v>0.45855079888177602</v>
      </c>
      <c r="L190" s="148">
        <v>41.089277640900001</v>
      </c>
      <c r="M190" s="149" t="s">
        <v>191</v>
      </c>
      <c r="N190" s="148">
        <v>10996.071034776955</v>
      </c>
      <c r="O190" s="143">
        <f t="shared" si="8"/>
        <v>451820.61570700887</v>
      </c>
      <c r="P190" s="144">
        <f t="shared" si="10"/>
        <v>207182.70428370484</v>
      </c>
    </row>
    <row r="191" spans="3:16" ht="22.8" x14ac:dyDescent="0.2">
      <c r="C191" s="145"/>
      <c r="D191" s="146" t="s">
        <v>206</v>
      </c>
      <c r="E191" s="137">
        <v>34516</v>
      </c>
      <c r="F191" s="138" t="str">
        <f t="shared" si="9"/>
        <v>Date check - OK</v>
      </c>
      <c r="H191" s="147" t="s">
        <v>190</v>
      </c>
      <c r="I191" s="148">
        <v>2304.2068742359793</v>
      </c>
      <c r="J191" s="141">
        <f>IF(OR(M191="metres",M191="pipe"),INDEX('Scheme cost allocation'!$D$21:$D$42,MATCH(IF(MONTH(E191)&lt;7,YEAR(E191),YEAR(E191)+1),'Scheme cost allocation'!$C$21:$C$42,0))*'Scheme cost allocation'!$J$21,'Scheme cost allocation'!$J$21)</f>
        <v>0.45855079888177602</v>
      </c>
      <c r="L191" s="148">
        <v>29.0486670182</v>
      </c>
      <c r="M191" s="149" t="s">
        <v>191</v>
      </c>
      <c r="N191" s="148">
        <v>12640.012639217797</v>
      </c>
      <c r="O191" s="143">
        <f t="shared" si="8"/>
        <v>367175.51826247718</v>
      </c>
      <c r="P191" s="144">
        <f t="shared" si="10"/>
        <v>168368.62722908906</v>
      </c>
    </row>
    <row r="192" spans="3:16" ht="22.8" x14ac:dyDescent="0.2">
      <c r="C192" s="145"/>
      <c r="D192" s="146" t="s">
        <v>206</v>
      </c>
      <c r="E192" s="137">
        <v>34516</v>
      </c>
      <c r="F192" s="138" t="str">
        <f t="shared" si="9"/>
        <v>Date check - OK</v>
      </c>
      <c r="H192" s="147" t="s">
        <v>190</v>
      </c>
      <c r="I192" s="148">
        <v>2304.2068742359793</v>
      </c>
      <c r="J192" s="141">
        <f>IF(OR(M192="metres",M192="pipe"),INDEX('Scheme cost allocation'!$D$21:$D$42,MATCH(IF(MONTH(E192)&lt;7,YEAR(E192),YEAR(E192)+1),'Scheme cost allocation'!$C$21:$C$42,0))*'Scheme cost allocation'!$J$21,'Scheme cost allocation'!$J$21)</f>
        <v>0.45855079888177602</v>
      </c>
      <c r="L192" s="148">
        <v>28.951288705700001</v>
      </c>
      <c r="M192" s="149" t="s">
        <v>191</v>
      </c>
      <c r="N192" s="148">
        <v>12640.012639217797</v>
      </c>
      <c r="O192" s="143">
        <f t="shared" si="8"/>
        <v>365944.65516169148</v>
      </c>
      <c r="P192" s="144">
        <f t="shared" si="10"/>
        <v>167804.21397090968</v>
      </c>
    </row>
    <row r="193" spans="3:16" ht="22.8" x14ac:dyDescent="0.2">
      <c r="C193" s="145"/>
      <c r="D193" s="146" t="s">
        <v>206</v>
      </c>
      <c r="E193" s="137">
        <v>34516</v>
      </c>
      <c r="F193" s="138" t="str">
        <f t="shared" si="9"/>
        <v>Date check - OK</v>
      </c>
      <c r="H193" s="147" t="s">
        <v>190</v>
      </c>
      <c r="I193" s="148">
        <v>2304.2068742359793</v>
      </c>
      <c r="J193" s="141">
        <f>IF(OR(M193="metres",M193="pipe"),INDEX('Scheme cost allocation'!$D$21:$D$42,MATCH(IF(MONTH(E193)&lt;7,YEAR(E193),YEAR(E193)+1),'Scheme cost allocation'!$C$21:$C$42,0))*'Scheme cost allocation'!$J$21,'Scheme cost allocation'!$J$21)</f>
        <v>0.45855079888177602</v>
      </c>
      <c r="L193" s="148">
        <v>49.858354505999998</v>
      </c>
      <c r="M193" s="149" t="s">
        <v>191</v>
      </c>
      <c r="N193" s="148">
        <v>12640.012639217797</v>
      </c>
      <c r="O193" s="143">
        <f t="shared" si="8"/>
        <v>630210.23112644162</v>
      </c>
      <c r="P193" s="144">
        <f t="shared" si="10"/>
        <v>288983.40494649851</v>
      </c>
    </row>
    <row r="194" spans="3:16" ht="22.8" x14ac:dyDescent="0.2">
      <c r="C194" s="145"/>
      <c r="D194" s="146" t="s">
        <v>206</v>
      </c>
      <c r="E194" s="137">
        <v>34516</v>
      </c>
      <c r="F194" s="138" t="str">
        <f t="shared" si="9"/>
        <v>Date check - OK</v>
      </c>
      <c r="H194" s="147" t="s">
        <v>190</v>
      </c>
      <c r="I194" s="148">
        <v>2304.2068742359793</v>
      </c>
      <c r="J194" s="141">
        <f>IF(OR(M194="metres",M194="pipe"),INDEX('Scheme cost allocation'!$D$21:$D$42,MATCH(IF(MONTH(E194)&lt;7,YEAR(E194),YEAR(E194)+1),'Scheme cost allocation'!$C$21:$C$42,0))*'Scheme cost allocation'!$J$21,'Scheme cost allocation'!$J$21)</f>
        <v>0.45855079888177602</v>
      </c>
      <c r="L194" s="148">
        <v>49.8303500552</v>
      </c>
      <c r="M194" s="149" t="s">
        <v>191</v>
      </c>
      <c r="N194" s="148">
        <v>12640.012639217797</v>
      </c>
      <c r="O194" s="143">
        <f t="shared" si="8"/>
        <v>629856.25451437524</v>
      </c>
      <c r="P194" s="144">
        <f t="shared" si="10"/>
        <v>288821.08868824999</v>
      </c>
    </row>
    <row r="195" spans="3:16" ht="22.8" x14ac:dyDescent="0.2">
      <c r="C195" s="145"/>
      <c r="D195" s="146" t="s">
        <v>206</v>
      </c>
      <c r="E195" s="137">
        <v>34516</v>
      </c>
      <c r="F195" s="138" t="str">
        <f t="shared" si="9"/>
        <v>Date check - OK</v>
      </c>
      <c r="H195" s="147" t="s">
        <v>190</v>
      </c>
      <c r="I195" s="148">
        <v>2304.2068742359793</v>
      </c>
      <c r="J195" s="141">
        <f>IF(OR(M195="metres",M195="pipe"),INDEX('Scheme cost allocation'!$D$21:$D$42,MATCH(IF(MONTH(E195)&lt;7,YEAR(E195),YEAR(E195)+1),'Scheme cost allocation'!$C$21:$C$42,0))*'Scheme cost allocation'!$J$21,'Scheme cost allocation'!$J$21)</f>
        <v>0.45855079888177602</v>
      </c>
      <c r="L195" s="148">
        <v>99.432228522599999</v>
      </c>
      <c r="M195" s="149" t="s">
        <v>191</v>
      </c>
      <c r="N195" s="148">
        <v>12640.012639217797</v>
      </c>
      <c r="O195" s="143">
        <f t="shared" si="8"/>
        <v>1256824.6252712563</v>
      </c>
      <c r="P195" s="144">
        <f t="shared" si="10"/>
        <v>576317.93597242341</v>
      </c>
    </row>
    <row r="196" spans="3:16" ht="22.8" x14ac:dyDescent="0.2">
      <c r="C196" s="145"/>
      <c r="D196" s="146" t="s">
        <v>206</v>
      </c>
      <c r="E196" s="137">
        <v>34516</v>
      </c>
      <c r="F196" s="138" t="str">
        <f t="shared" si="9"/>
        <v>Date check - OK</v>
      </c>
      <c r="H196" s="147" t="s">
        <v>190</v>
      </c>
      <c r="I196" s="148">
        <v>2304.2068742359793</v>
      </c>
      <c r="J196" s="141">
        <f>IF(OR(M196="metres",M196="pipe"),INDEX('Scheme cost allocation'!$D$21:$D$42,MATCH(IF(MONTH(E196)&lt;7,YEAR(E196),YEAR(E196)+1),'Scheme cost allocation'!$C$21:$C$42,0))*'Scheme cost allocation'!$J$21,'Scheme cost allocation'!$J$21)</f>
        <v>0.45855079888177602</v>
      </c>
      <c r="L196" s="148">
        <v>51.040636399699999</v>
      </c>
      <c r="M196" s="149" t="s">
        <v>191</v>
      </c>
      <c r="N196" s="148">
        <v>12640.012639217795</v>
      </c>
      <c r="O196" s="143">
        <f t="shared" si="8"/>
        <v>645154.28920592787</v>
      </c>
      <c r="P196" s="144">
        <f t="shared" si="10"/>
        <v>295836.01471738261</v>
      </c>
    </row>
    <row r="197" spans="3:16" ht="22.8" x14ac:dyDescent="0.2">
      <c r="C197" s="145"/>
      <c r="D197" s="146" t="s">
        <v>206</v>
      </c>
      <c r="E197" s="137">
        <v>34516</v>
      </c>
      <c r="F197" s="138" t="str">
        <f t="shared" si="9"/>
        <v>Date check - OK</v>
      </c>
      <c r="H197" s="147" t="s">
        <v>190</v>
      </c>
      <c r="I197" s="148">
        <v>2304.2068742359793</v>
      </c>
      <c r="J197" s="141">
        <f>IF(OR(M197="metres",M197="pipe"),INDEX('Scheme cost allocation'!$D$21:$D$42,MATCH(IF(MONTH(E197)&lt;7,YEAR(E197),YEAR(E197)+1),'Scheme cost allocation'!$C$21:$C$42,0))*'Scheme cost allocation'!$J$21,'Scheme cost allocation'!$J$21)</f>
        <v>0.45855079888177602</v>
      </c>
      <c r="L197" s="148">
        <v>50.9967376548</v>
      </c>
      <c r="M197" s="149" t="s">
        <v>191</v>
      </c>
      <c r="N197" s="148">
        <v>12640.012639217795</v>
      </c>
      <c r="O197" s="143">
        <f t="shared" si="8"/>
        <v>644599.40851554612</v>
      </c>
      <c r="P197" s="144">
        <f t="shared" si="10"/>
        <v>295581.57373352395</v>
      </c>
    </row>
    <row r="198" spans="3:16" ht="22.8" x14ac:dyDescent="0.2">
      <c r="C198" s="145"/>
      <c r="D198" s="146" t="s">
        <v>206</v>
      </c>
      <c r="E198" s="137">
        <v>34516</v>
      </c>
      <c r="F198" s="138" t="str">
        <f t="shared" si="9"/>
        <v>Date check - OK</v>
      </c>
      <c r="H198" s="147" t="s">
        <v>190</v>
      </c>
      <c r="I198" s="148">
        <v>2304.2068742359793</v>
      </c>
      <c r="J198" s="141">
        <f>IF(OR(M198="metres",M198="pipe"),INDEX('Scheme cost allocation'!$D$21:$D$42,MATCH(IF(MONTH(E198)&lt;7,YEAR(E198),YEAR(E198)+1),'Scheme cost allocation'!$C$21:$C$42,0))*'Scheme cost allocation'!$J$21,'Scheme cost allocation'!$J$21)</f>
        <v>0.45855079888177602</v>
      </c>
      <c r="L198" s="148">
        <v>99.495161492600005</v>
      </c>
      <c r="M198" s="149" t="s">
        <v>191</v>
      </c>
      <c r="N198" s="148">
        <v>12640.012639217795</v>
      </c>
      <c r="O198" s="143">
        <f t="shared" si="8"/>
        <v>1257620.0988074797</v>
      </c>
      <c r="P198" s="144">
        <f t="shared" si="10"/>
        <v>576682.70099794795</v>
      </c>
    </row>
    <row r="199" spans="3:16" ht="22.8" x14ac:dyDescent="0.2">
      <c r="C199" s="145"/>
      <c r="D199" s="146" t="s">
        <v>206</v>
      </c>
      <c r="E199" s="137">
        <v>34516</v>
      </c>
      <c r="F199" s="138" t="str">
        <f t="shared" si="9"/>
        <v>Date check - OK</v>
      </c>
      <c r="H199" s="147" t="s">
        <v>190</v>
      </c>
      <c r="I199" s="148">
        <v>2304.2068742359793</v>
      </c>
      <c r="J199" s="141">
        <f>IF(OR(M199="metres",M199="pipe"),INDEX('Scheme cost allocation'!$D$21:$D$42,MATCH(IF(MONTH(E199)&lt;7,YEAR(E199),YEAR(E199)+1),'Scheme cost allocation'!$C$21:$C$42,0))*'Scheme cost allocation'!$J$21,'Scheme cost allocation'!$J$21)</f>
        <v>0.45855079888177602</v>
      </c>
      <c r="L199" s="148">
        <v>50.030274368800001</v>
      </c>
      <c r="M199" s="149" t="s">
        <v>191</v>
      </c>
      <c r="N199" s="148">
        <v>12640.012639217795</v>
      </c>
      <c r="O199" s="143">
        <f t="shared" si="8"/>
        <v>632383.30036516616</v>
      </c>
      <c r="P199" s="144">
        <f t="shared" si="10"/>
        <v>289979.86758194107</v>
      </c>
    </row>
    <row r="200" spans="3:16" ht="22.8" x14ac:dyDescent="0.2">
      <c r="C200" s="145"/>
      <c r="D200" s="146" t="s">
        <v>206</v>
      </c>
      <c r="E200" s="137">
        <v>34516</v>
      </c>
      <c r="F200" s="138" t="str">
        <f t="shared" si="9"/>
        <v>Date check - OK</v>
      </c>
      <c r="H200" s="147" t="s">
        <v>190</v>
      </c>
      <c r="I200" s="148">
        <v>2304.2068742359793</v>
      </c>
      <c r="J200" s="141">
        <f>IF(OR(M200="metres",M200="pipe"),INDEX('Scheme cost allocation'!$D$21:$D$42,MATCH(IF(MONTH(E200)&lt;7,YEAR(E200),YEAR(E200)+1),'Scheme cost allocation'!$C$21:$C$42,0))*'Scheme cost allocation'!$J$21,'Scheme cost allocation'!$J$21)</f>
        <v>0.45855079888177602</v>
      </c>
      <c r="L200" s="148">
        <v>49.893525111599999</v>
      </c>
      <c r="M200" s="149" t="s">
        <v>191</v>
      </c>
      <c r="N200" s="148">
        <v>12640.012639217797</v>
      </c>
      <c r="O200" s="143">
        <f t="shared" si="8"/>
        <v>630654.7880257545</v>
      </c>
      <c r="P200" s="144">
        <f t="shared" si="10"/>
        <v>289187.25686782686</v>
      </c>
    </row>
    <row r="201" spans="3:16" ht="22.8" x14ac:dyDescent="0.2">
      <c r="C201" s="145"/>
      <c r="D201" s="146" t="s">
        <v>206</v>
      </c>
      <c r="E201" s="137">
        <v>34516</v>
      </c>
      <c r="F201" s="138" t="str">
        <f t="shared" si="9"/>
        <v>Date check - OK</v>
      </c>
      <c r="H201" s="147" t="s">
        <v>190</v>
      </c>
      <c r="I201" s="148">
        <v>2304.2068742359793</v>
      </c>
      <c r="J201" s="141">
        <f>IF(OR(M201="metres",M201="pipe"),INDEX('Scheme cost allocation'!$D$21:$D$42,MATCH(IF(MONTH(E201)&lt;7,YEAR(E201),YEAR(E201)+1),'Scheme cost allocation'!$C$21:$C$42,0))*'Scheme cost allocation'!$J$21,'Scheme cost allocation'!$J$21)</f>
        <v>0.45855079888177602</v>
      </c>
      <c r="L201" s="148">
        <v>83.306012063799997</v>
      </c>
      <c r="M201" s="149" t="s">
        <v>191</v>
      </c>
      <c r="N201" s="148">
        <v>12640.012639217797</v>
      </c>
      <c r="O201" s="143">
        <f t="shared" si="8"/>
        <v>1052989.0454092622</v>
      </c>
      <c r="P201" s="144">
        <f t="shared" si="10"/>
        <v>482848.96798617591</v>
      </c>
    </row>
    <row r="202" spans="3:16" ht="22.8" x14ac:dyDescent="0.2">
      <c r="C202" s="145"/>
      <c r="D202" s="146" t="s">
        <v>206</v>
      </c>
      <c r="E202" s="137">
        <v>34516</v>
      </c>
      <c r="F202" s="138" t="str">
        <f t="shared" si="9"/>
        <v>Date check - OK</v>
      </c>
      <c r="H202" s="147" t="s">
        <v>190</v>
      </c>
      <c r="I202" s="148">
        <v>2304.2068742359793</v>
      </c>
      <c r="J202" s="141">
        <f>IF(OR(M202="metres",M202="pipe"),INDEX('Scheme cost allocation'!$D$21:$D$42,MATCH(IF(MONTH(E202)&lt;7,YEAR(E202),YEAR(E202)+1),'Scheme cost allocation'!$C$21:$C$42,0))*'Scheme cost allocation'!$J$21,'Scheme cost allocation'!$J$21)</f>
        <v>0.45855079888177602</v>
      </c>
      <c r="L202" s="148">
        <v>62.304250145200001</v>
      </c>
      <c r="M202" s="149" t="s">
        <v>191</v>
      </c>
      <c r="N202" s="148">
        <v>12640.012639217795</v>
      </c>
      <c r="O202" s="143">
        <f t="shared" si="8"/>
        <v>787526.50931231515</v>
      </c>
      <c r="P202" s="144">
        <f t="shared" si="10"/>
        <v>361120.90998573852</v>
      </c>
    </row>
    <row r="203" spans="3:16" ht="22.8" x14ac:dyDescent="0.2">
      <c r="C203" s="145"/>
      <c r="D203" s="146" t="s">
        <v>206</v>
      </c>
      <c r="E203" s="137">
        <v>34516</v>
      </c>
      <c r="F203" s="138" t="str">
        <f t="shared" si="9"/>
        <v>Date check - OK</v>
      </c>
      <c r="H203" s="147" t="s">
        <v>190</v>
      </c>
      <c r="I203" s="148">
        <v>2304.2068742359793</v>
      </c>
      <c r="J203" s="141">
        <f>IF(OR(M203="metres",M203="pipe"),INDEX('Scheme cost allocation'!$D$21:$D$42,MATCH(IF(MONTH(E203)&lt;7,YEAR(E203),YEAR(E203)+1),'Scheme cost allocation'!$C$21:$C$42,0))*'Scheme cost allocation'!$J$21,'Scheme cost allocation'!$J$21)</f>
        <v>0.45855079888177602</v>
      </c>
      <c r="L203" s="148">
        <v>86.991307549599995</v>
      </c>
      <c r="M203" s="149" t="s">
        <v>191</v>
      </c>
      <c r="N203" s="148">
        <v>12640.012639217795</v>
      </c>
      <c r="O203" s="143">
        <f t="shared" si="8"/>
        <v>1099571.2269290264</v>
      </c>
      <c r="P203" s="144">
        <f t="shared" si="10"/>
        <v>504209.2645357197</v>
      </c>
    </row>
    <row r="204" spans="3:16" ht="22.8" x14ac:dyDescent="0.2">
      <c r="C204" s="145"/>
      <c r="D204" s="146" t="s">
        <v>206</v>
      </c>
      <c r="E204" s="137">
        <v>34516</v>
      </c>
      <c r="F204" s="138" t="str">
        <f t="shared" si="9"/>
        <v>Date check - OK</v>
      </c>
      <c r="H204" s="147" t="s">
        <v>190</v>
      </c>
      <c r="I204" s="148">
        <v>2304.2068742359793</v>
      </c>
      <c r="J204" s="141">
        <f>IF(OR(M204="metres",M204="pipe"),INDEX('Scheme cost allocation'!$D$21:$D$42,MATCH(IF(MONTH(E204)&lt;7,YEAR(E204),YEAR(E204)+1),'Scheme cost allocation'!$C$21:$C$42,0))*'Scheme cost allocation'!$J$21,'Scheme cost allocation'!$J$21)</f>
        <v>0.45855079888177602</v>
      </c>
      <c r="L204" s="148">
        <v>79.613253037000007</v>
      </c>
      <c r="M204" s="149" t="s">
        <v>191</v>
      </c>
      <c r="N204" s="148">
        <v>12640.012639217795</v>
      </c>
      <c r="O204" s="143">
        <f t="shared" si="8"/>
        <v>1006312.5246369246</v>
      </c>
      <c r="P204" s="144">
        <f t="shared" si="10"/>
        <v>461445.41209699871</v>
      </c>
    </row>
    <row r="205" spans="3:16" ht="22.8" x14ac:dyDescent="0.2">
      <c r="C205" s="145"/>
      <c r="D205" s="146" t="s">
        <v>206</v>
      </c>
      <c r="E205" s="137">
        <v>34516</v>
      </c>
      <c r="F205" s="138" t="str">
        <f t="shared" si="9"/>
        <v>Date check - OK</v>
      </c>
      <c r="H205" s="147" t="s">
        <v>190</v>
      </c>
      <c r="I205" s="148">
        <v>2304.2068742359793</v>
      </c>
      <c r="J205" s="141">
        <f>IF(OR(M205="metres",M205="pipe"),INDEX('Scheme cost allocation'!$D$21:$D$42,MATCH(IF(MONTH(E205)&lt;7,YEAR(E205),YEAR(E205)+1),'Scheme cost allocation'!$C$21:$C$42,0))*'Scheme cost allocation'!$J$21,'Scheme cost allocation'!$J$21)</f>
        <v>0.45855079888177602</v>
      </c>
      <c r="L205" s="148">
        <v>20.1161974135</v>
      </c>
      <c r="M205" s="149" t="s">
        <v>191</v>
      </c>
      <c r="N205" s="148">
        <v>12640.012639217797</v>
      </c>
      <c r="O205" s="143">
        <f t="shared" si="8"/>
        <v>254268.98955964035</v>
      </c>
      <c r="P205" s="144">
        <f t="shared" si="10"/>
        <v>116595.24829343506</v>
      </c>
    </row>
    <row r="206" spans="3:16" ht="22.8" x14ac:dyDescent="0.2">
      <c r="C206" s="145"/>
      <c r="D206" s="146" t="s">
        <v>206</v>
      </c>
      <c r="E206" s="137">
        <v>34516</v>
      </c>
      <c r="F206" s="138" t="str">
        <f t="shared" si="9"/>
        <v>Date check - OK</v>
      </c>
      <c r="H206" s="147" t="s">
        <v>190</v>
      </c>
      <c r="I206" s="148">
        <v>2304.2068742359793</v>
      </c>
      <c r="J206" s="141">
        <f>IF(OR(M206="metres",M206="pipe"),INDEX('Scheme cost allocation'!$D$21:$D$42,MATCH(IF(MONTH(E206)&lt;7,YEAR(E206),YEAR(E206)+1),'Scheme cost allocation'!$C$21:$C$42,0))*'Scheme cost allocation'!$J$21,'Scheme cost allocation'!$J$21)</f>
        <v>0.45855079888177602</v>
      </c>
      <c r="L206" s="148">
        <v>89.668523796800002</v>
      </c>
      <c r="M206" s="149" t="s">
        <v>191</v>
      </c>
      <c r="N206" s="148">
        <v>12640.012639217799</v>
      </c>
      <c r="O206" s="143">
        <f t="shared" si="8"/>
        <v>1133411.2741315539</v>
      </c>
      <c r="P206" s="144">
        <f t="shared" si="10"/>
        <v>519726.6452146357</v>
      </c>
    </row>
    <row r="207" spans="3:16" ht="22.8" x14ac:dyDescent="0.2">
      <c r="C207" s="145"/>
      <c r="D207" s="146" t="s">
        <v>206</v>
      </c>
      <c r="E207" s="137">
        <v>34516</v>
      </c>
      <c r="F207" s="138" t="str">
        <f t="shared" si="9"/>
        <v>Date check - OK</v>
      </c>
      <c r="H207" s="147" t="s">
        <v>190</v>
      </c>
      <c r="I207" s="148">
        <v>2304.2068742359793</v>
      </c>
      <c r="J207" s="141">
        <f>IF(OR(M207="metres",M207="pipe"),INDEX('Scheme cost allocation'!$D$21:$D$42,MATCH(IF(MONTH(E207)&lt;7,YEAR(E207),YEAR(E207)+1),'Scheme cost allocation'!$C$21:$C$42,0))*'Scheme cost allocation'!$J$21,'Scheme cost allocation'!$J$21)</f>
        <v>0.45855079888177602</v>
      </c>
      <c r="L207" s="148">
        <v>89.629867747999995</v>
      </c>
      <c r="M207" s="149" t="s">
        <v>191</v>
      </c>
      <c r="N207" s="148">
        <v>12640.012639217797</v>
      </c>
      <c r="O207" s="143">
        <f t="shared" si="8"/>
        <v>1132922.6611861396</v>
      </c>
      <c r="P207" s="144">
        <f t="shared" si="10"/>
        <v>519502.59135817195</v>
      </c>
    </row>
    <row r="208" spans="3:16" ht="22.8" x14ac:dyDescent="0.2">
      <c r="C208" s="145"/>
      <c r="D208" s="146" t="s">
        <v>206</v>
      </c>
      <c r="E208" s="137">
        <v>34516</v>
      </c>
      <c r="F208" s="138" t="str">
        <f t="shared" si="9"/>
        <v>Date check - OK</v>
      </c>
      <c r="H208" s="147" t="s">
        <v>190</v>
      </c>
      <c r="I208" s="148">
        <v>2304.2068742359793</v>
      </c>
      <c r="J208" s="141">
        <f>IF(OR(M208="metres",M208="pipe"),INDEX('Scheme cost allocation'!$D$21:$D$42,MATCH(IF(MONTH(E208)&lt;7,YEAR(E208),YEAR(E208)+1),'Scheme cost allocation'!$C$21:$C$42,0))*'Scheme cost allocation'!$J$21,'Scheme cost allocation'!$J$21)</f>
        <v>0.45855079888177602</v>
      </c>
      <c r="L208" s="148">
        <v>66.875951205199996</v>
      </c>
      <c r="M208" s="149" t="s">
        <v>191</v>
      </c>
      <c r="N208" s="148">
        <v>12640.012639217795</v>
      </c>
      <c r="O208" s="143">
        <f t="shared" si="8"/>
        <v>845312.86849344056</v>
      </c>
      <c r="P208" s="144">
        <f t="shared" si="10"/>
        <v>387618.89115271287</v>
      </c>
    </row>
    <row r="209" spans="3:16" ht="22.8" x14ac:dyDescent="0.2">
      <c r="C209" s="145"/>
      <c r="D209" s="146" t="s">
        <v>206</v>
      </c>
      <c r="E209" s="137">
        <v>34516</v>
      </c>
      <c r="F209" s="138" t="str">
        <f t="shared" si="9"/>
        <v>Date check - OK</v>
      </c>
      <c r="H209" s="147" t="s">
        <v>190</v>
      </c>
      <c r="I209" s="148">
        <v>2304.2068742359793</v>
      </c>
      <c r="J209" s="141">
        <f>IF(OR(M209="metres",M209="pipe"),INDEX('Scheme cost allocation'!$D$21:$D$42,MATCH(IF(MONTH(E209)&lt;7,YEAR(E209),YEAR(E209)+1),'Scheme cost allocation'!$C$21:$C$42,0))*'Scheme cost allocation'!$J$21,'Scheme cost allocation'!$J$21)</f>
        <v>0.45855079888177602</v>
      </c>
      <c r="L209" s="148">
        <v>22.751671664300002</v>
      </c>
      <c r="M209" s="149" t="s">
        <v>191</v>
      </c>
      <c r="N209" s="148">
        <v>12640.012639217797</v>
      </c>
      <c r="O209" s="143">
        <f t="shared" si="8"/>
        <v>287581.41740008543</v>
      </c>
      <c r="P209" s="144">
        <f t="shared" si="10"/>
        <v>131870.68869236266</v>
      </c>
    </row>
    <row r="210" spans="3:16" ht="22.8" x14ac:dyDescent="0.2">
      <c r="C210" s="145"/>
      <c r="D210" s="146" t="s">
        <v>206</v>
      </c>
      <c r="E210" s="137">
        <v>34516</v>
      </c>
      <c r="F210" s="138" t="str">
        <f t="shared" si="9"/>
        <v>Date check - OK</v>
      </c>
      <c r="H210" s="147" t="s">
        <v>190</v>
      </c>
      <c r="I210" s="148">
        <v>2304.2068742359793</v>
      </c>
      <c r="J210" s="141">
        <f>IF(OR(M210="metres",M210="pipe"),INDEX('Scheme cost allocation'!$D$21:$D$42,MATCH(IF(MONTH(E210)&lt;7,YEAR(E210),YEAR(E210)+1),'Scheme cost allocation'!$C$21:$C$42,0))*'Scheme cost allocation'!$J$21,'Scheme cost allocation'!$J$21)</f>
        <v>0.45855079888177602</v>
      </c>
      <c r="L210" s="148">
        <v>79.204879044199998</v>
      </c>
      <c r="M210" s="149" t="s">
        <v>191</v>
      </c>
      <c r="N210" s="148">
        <v>12640.012639217795</v>
      </c>
      <c r="O210" s="143">
        <f t="shared" si="8"/>
        <v>1001150.6722064046</v>
      </c>
      <c r="P210" s="144">
        <f t="shared" si="10"/>
        <v>459078.44054127391</v>
      </c>
    </row>
    <row r="211" spans="3:16" ht="22.8" x14ac:dyDescent="0.2">
      <c r="C211" s="145"/>
      <c r="D211" s="146" t="s">
        <v>206</v>
      </c>
      <c r="E211" s="137">
        <v>34516</v>
      </c>
      <c r="F211" s="138" t="str">
        <f t="shared" si="9"/>
        <v>Date check - OK</v>
      </c>
      <c r="H211" s="147" t="s">
        <v>190</v>
      </c>
      <c r="I211" s="148">
        <v>2304.2068742359793</v>
      </c>
      <c r="J211" s="141">
        <f>IF(OR(M211="metres",M211="pipe"),INDEX('Scheme cost allocation'!$D$21:$D$42,MATCH(IF(MONTH(E211)&lt;7,YEAR(E211),YEAR(E211)+1),'Scheme cost allocation'!$C$21:$C$42,0))*'Scheme cost allocation'!$J$21,'Scheme cost allocation'!$J$21)</f>
        <v>0.45855079888177602</v>
      </c>
      <c r="L211" s="148">
        <v>99.861391215099999</v>
      </c>
      <c r="M211" s="149" t="s">
        <v>191</v>
      </c>
      <c r="N211" s="148">
        <v>12640.012639217795</v>
      </c>
      <c r="O211" s="143">
        <f t="shared" si="8"/>
        <v>1262249.2471287369</v>
      </c>
      <c r="P211" s="144">
        <f t="shared" si="10"/>
        <v>578805.40065880259</v>
      </c>
    </row>
    <row r="212" spans="3:16" ht="22.8" x14ac:dyDescent="0.2">
      <c r="C212" s="145"/>
      <c r="D212" s="146" t="s">
        <v>206</v>
      </c>
      <c r="E212" s="137">
        <v>34516</v>
      </c>
      <c r="F212" s="138" t="str">
        <f t="shared" si="9"/>
        <v>Date check - OK</v>
      </c>
      <c r="H212" s="147" t="s">
        <v>190</v>
      </c>
      <c r="I212" s="148">
        <v>2304.2068742359793</v>
      </c>
      <c r="J212" s="141">
        <f>IF(OR(M212="metres",M212="pipe"),INDEX('Scheme cost allocation'!$D$21:$D$42,MATCH(IF(MONTH(E212)&lt;7,YEAR(E212),YEAR(E212)+1),'Scheme cost allocation'!$C$21:$C$42,0))*'Scheme cost allocation'!$J$21,'Scheme cost allocation'!$J$21)</f>
        <v>0.45855079888177602</v>
      </c>
      <c r="L212" s="148">
        <v>86.213807194699996</v>
      </c>
      <c r="M212" s="149" t="s">
        <v>191</v>
      </c>
      <c r="N212" s="148">
        <v>12640.012639217795</v>
      </c>
      <c r="O212" s="143">
        <f t="shared" si="8"/>
        <v>1089743.6126160941</v>
      </c>
      <c r="P212" s="144">
        <f t="shared" si="10"/>
        <v>499702.80414142262</v>
      </c>
    </row>
    <row r="213" spans="3:16" ht="22.8" x14ac:dyDescent="0.2">
      <c r="C213" s="145"/>
      <c r="D213" s="146" t="s">
        <v>206</v>
      </c>
      <c r="E213" s="137">
        <v>34516</v>
      </c>
      <c r="F213" s="138" t="str">
        <f t="shared" si="9"/>
        <v>Date check - OK</v>
      </c>
      <c r="H213" s="147" t="s">
        <v>190</v>
      </c>
      <c r="I213" s="148">
        <v>2304.2068742359793</v>
      </c>
      <c r="J213" s="141">
        <f>IF(OR(M213="metres",M213="pipe"),INDEX('Scheme cost allocation'!$D$21:$D$42,MATCH(IF(MONTH(E213)&lt;7,YEAR(E213),YEAR(E213)+1),'Scheme cost allocation'!$C$21:$C$42,0))*'Scheme cost allocation'!$J$21,'Scheme cost allocation'!$J$21)</f>
        <v>0.45855079888177602</v>
      </c>
      <c r="L213" s="148">
        <v>15.3253525926</v>
      </c>
      <c r="M213" s="149" t="s">
        <v>191</v>
      </c>
      <c r="N213" s="148">
        <v>12640.012639217797</v>
      </c>
      <c r="O213" s="143">
        <f t="shared" si="8"/>
        <v>193712.65047093324</v>
      </c>
      <c r="P213" s="144">
        <f t="shared" si="10"/>
        <v>88827.090626952675</v>
      </c>
    </row>
    <row r="214" spans="3:16" ht="22.8" x14ac:dyDescent="0.2">
      <c r="C214" s="145"/>
      <c r="D214" s="146" t="s">
        <v>206</v>
      </c>
      <c r="E214" s="137">
        <v>34516</v>
      </c>
      <c r="F214" s="138" t="str">
        <f t="shared" si="9"/>
        <v>Date check - OK</v>
      </c>
      <c r="H214" s="147" t="s">
        <v>190</v>
      </c>
      <c r="I214" s="148">
        <v>2304.2068742359793</v>
      </c>
      <c r="J214" s="141">
        <f>IF(OR(M214="metres",M214="pipe"),INDEX('Scheme cost allocation'!$D$21:$D$42,MATCH(IF(MONTH(E214)&lt;7,YEAR(E214),YEAR(E214)+1),'Scheme cost allocation'!$C$21:$C$42,0))*'Scheme cost allocation'!$J$21,'Scheme cost allocation'!$J$21)</f>
        <v>0.45855079888177602</v>
      </c>
      <c r="L214" s="148">
        <v>69.936223711400004</v>
      </c>
      <c r="M214" s="149" t="s">
        <v>191</v>
      </c>
      <c r="N214" s="148">
        <v>12640.012639217795</v>
      </c>
      <c r="O214" s="143">
        <f t="shared" si="8"/>
        <v>883994.75165125937</v>
      </c>
      <c r="P214" s="144">
        <f t="shared" si="10"/>
        <v>405356.49957698217</v>
      </c>
    </row>
    <row r="215" spans="3:16" ht="22.8" x14ac:dyDescent="0.2">
      <c r="C215" s="145"/>
      <c r="D215" s="146" t="s">
        <v>206</v>
      </c>
      <c r="E215" s="137">
        <v>34516</v>
      </c>
      <c r="F215" s="138" t="str">
        <f t="shared" si="9"/>
        <v>Date check - OK</v>
      </c>
      <c r="H215" s="147" t="s">
        <v>190</v>
      </c>
      <c r="I215" s="148">
        <v>2304.2068742359793</v>
      </c>
      <c r="J215" s="141">
        <f>IF(OR(M215="metres",M215="pipe"),INDEX('Scheme cost allocation'!$D$21:$D$42,MATCH(IF(MONTH(E215)&lt;7,YEAR(E215),YEAR(E215)+1),'Scheme cost allocation'!$C$21:$C$42,0))*'Scheme cost allocation'!$J$21,'Scheme cost allocation'!$J$21)</f>
        <v>0.45855079888177602</v>
      </c>
      <c r="L215" s="148">
        <v>99.324433581600005</v>
      </c>
      <c r="M215" s="149" t="s">
        <v>191</v>
      </c>
      <c r="N215" s="148">
        <v>12640.012639217797</v>
      </c>
      <c r="O215" s="143">
        <f t="shared" ref="O215:O242" si="11">IF(N215="","-",L215*N215)</f>
        <v>1255462.0958545727</v>
      </c>
      <c r="P215" s="144">
        <f t="shared" si="10"/>
        <v>575693.14701990318</v>
      </c>
    </row>
    <row r="216" spans="3:16" ht="22.8" x14ac:dyDescent="0.2">
      <c r="C216" s="145"/>
      <c r="D216" s="146" t="s">
        <v>206</v>
      </c>
      <c r="E216" s="137">
        <v>34516</v>
      </c>
      <c r="F216" s="138" t="str">
        <f t="shared" si="9"/>
        <v>Date check - OK</v>
      </c>
      <c r="H216" s="147" t="s">
        <v>190</v>
      </c>
      <c r="I216" s="148">
        <v>2304.2068742359793</v>
      </c>
      <c r="J216" s="141">
        <f>IF(OR(M216="metres",M216="pipe"),INDEX('Scheme cost allocation'!$D$21:$D$42,MATCH(IF(MONTH(E216)&lt;7,YEAR(E216),YEAR(E216)+1),'Scheme cost allocation'!$C$21:$C$42,0))*'Scheme cost allocation'!$J$21,'Scheme cost allocation'!$J$21)</f>
        <v>0.45855079888177602</v>
      </c>
      <c r="L216" s="148">
        <v>101.999896062</v>
      </c>
      <c r="M216" s="149" t="s">
        <v>191</v>
      </c>
      <c r="N216" s="148">
        <v>12640.012639217797</v>
      </c>
      <c r="O216" s="143">
        <f t="shared" si="11"/>
        <v>1289279.9754225817</v>
      </c>
      <c r="P216" s="144">
        <f t="shared" si="10"/>
        <v>591200.36271230143</v>
      </c>
    </row>
    <row r="217" spans="3:16" ht="22.8" x14ac:dyDescent="0.2">
      <c r="C217" s="145"/>
      <c r="D217" s="146" t="s">
        <v>206</v>
      </c>
      <c r="E217" s="137">
        <v>34516</v>
      </c>
      <c r="F217" s="138" t="str">
        <f t="shared" si="9"/>
        <v>Date check - OK</v>
      </c>
      <c r="H217" s="147" t="s">
        <v>190</v>
      </c>
      <c r="I217" s="148">
        <v>2304.2068742359793</v>
      </c>
      <c r="J217" s="141">
        <f>IF(OR(M217="metres",M217="pipe"),INDEX('Scheme cost allocation'!$D$21:$D$42,MATCH(IF(MONTH(E217)&lt;7,YEAR(E217),YEAR(E217)+1),'Scheme cost allocation'!$C$21:$C$42,0))*'Scheme cost allocation'!$J$21,'Scheme cost allocation'!$J$21)</f>
        <v>0.45855079888177602</v>
      </c>
      <c r="L217" s="148">
        <v>89.526638723600001</v>
      </c>
      <c r="M217" s="149" t="s">
        <v>191</v>
      </c>
      <c r="N217" s="148">
        <v>12640.012639217795</v>
      </c>
      <c r="O217" s="143">
        <f t="shared" si="11"/>
        <v>1131617.8450129894</v>
      </c>
      <c r="P217" s="144">
        <f t="shared" si="10"/>
        <v>518904.26685958006</v>
      </c>
    </row>
    <row r="218" spans="3:16" ht="22.8" x14ac:dyDescent="0.2">
      <c r="C218" s="145"/>
      <c r="D218" s="146" t="s">
        <v>206</v>
      </c>
      <c r="E218" s="137">
        <v>34516</v>
      </c>
      <c r="F218" s="138" t="str">
        <f t="shared" si="9"/>
        <v>Date check - OK</v>
      </c>
      <c r="H218" s="147" t="s">
        <v>190</v>
      </c>
      <c r="I218" s="148">
        <v>2304.2068742359793</v>
      </c>
      <c r="J218" s="141">
        <f>IF(OR(M218="metres",M218="pipe"),INDEX('Scheme cost allocation'!$D$21:$D$42,MATCH(IF(MONTH(E218)&lt;7,YEAR(E218),YEAR(E218)+1),'Scheme cost allocation'!$C$21:$C$42,0))*'Scheme cost allocation'!$J$21,'Scheme cost allocation'!$J$21)</f>
        <v>0.45855079888177602</v>
      </c>
      <c r="L218" s="148">
        <v>89.562898100400005</v>
      </c>
      <c r="M218" s="149" t="s">
        <v>191</v>
      </c>
      <c r="N218" s="148">
        <v>12640.012639217797</v>
      </c>
      <c r="O218" s="143">
        <f t="shared" si="11"/>
        <v>1132076.1639940317</v>
      </c>
      <c r="P218" s="144">
        <f t="shared" si="10"/>
        <v>519114.42939447972</v>
      </c>
    </row>
    <row r="219" spans="3:16" x14ac:dyDescent="0.2">
      <c r="C219" s="145"/>
      <c r="D219" s="146" t="s">
        <v>195</v>
      </c>
      <c r="E219" s="137">
        <v>34516</v>
      </c>
      <c r="F219" s="138" t="str">
        <f t="shared" si="9"/>
        <v>Date check - OK</v>
      </c>
      <c r="H219" s="147" t="s">
        <v>190</v>
      </c>
      <c r="I219" s="148">
        <v>2304.2068742359793</v>
      </c>
      <c r="J219" s="141">
        <f>IF(OR(M219="metres",M219="pipe"),INDEX('Scheme cost allocation'!$D$21:$D$42,MATCH(IF(MONTH(E219)&lt;7,YEAR(E219),YEAR(E219)+1),'Scheme cost allocation'!$C$21:$C$42,0))*'Scheme cost allocation'!$J$21,'Scheme cost allocation'!$J$21)</f>
        <v>0.45855079888177602</v>
      </c>
      <c r="L219" s="148">
        <v>101.525676206</v>
      </c>
      <c r="M219" s="149" t="s">
        <v>191</v>
      </c>
      <c r="N219" s="148">
        <v>4346.9768907523503</v>
      </c>
      <c r="O219" s="143">
        <f t="shared" si="11"/>
        <v>441329.76828548778</v>
      </c>
      <c r="P219" s="144">
        <f t="shared" si="10"/>
        <v>202372.11781761952</v>
      </c>
    </row>
    <row r="220" spans="3:16" x14ac:dyDescent="0.2">
      <c r="C220" s="145"/>
      <c r="D220" s="146" t="s">
        <v>195</v>
      </c>
      <c r="E220" s="137">
        <v>34516</v>
      </c>
      <c r="F220" s="138" t="str">
        <f t="shared" si="9"/>
        <v>Date check - OK</v>
      </c>
      <c r="H220" s="147" t="s">
        <v>190</v>
      </c>
      <c r="I220" s="148">
        <v>2304.2068742359793</v>
      </c>
      <c r="J220" s="141">
        <f>IF(OR(M220="metres",M220="pipe"),INDEX('Scheme cost allocation'!$D$21:$D$42,MATCH(IF(MONTH(E220)&lt;7,YEAR(E220),YEAR(E220)+1),'Scheme cost allocation'!$C$21:$C$42,0))*'Scheme cost allocation'!$J$21,'Scheme cost allocation'!$J$21)</f>
        <v>0.45855079888177602</v>
      </c>
      <c r="L220" s="148">
        <v>20.1901667403</v>
      </c>
      <c r="M220" s="149" t="s">
        <v>191</v>
      </c>
      <c r="N220" s="148">
        <v>4346.9768907523503</v>
      </c>
      <c r="O220" s="143">
        <f t="shared" si="11"/>
        <v>87766.188240520816</v>
      </c>
      <c r="P220" s="144">
        <f t="shared" si="10"/>
        <v>40245.255732499158</v>
      </c>
    </row>
    <row r="221" spans="3:16" x14ac:dyDescent="0.2">
      <c r="C221" s="145"/>
      <c r="D221" s="146" t="s">
        <v>222</v>
      </c>
      <c r="E221" s="137">
        <v>34516</v>
      </c>
      <c r="F221" s="138" t="str">
        <f t="shared" si="9"/>
        <v>Date check - OK</v>
      </c>
      <c r="H221" s="147" t="s">
        <v>190</v>
      </c>
      <c r="I221" s="148">
        <v>2304.2068742359793</v>
      </c>
      <c r="J221" s="141">
        <f>IF(OR(M221="metres",M221="pipe"),INDEX('Scheme cost allocation'!$D$21:$D$42,MATCH(IF(MONTH(E221)&lt;7,YEAR(E221),YEAR(E221)+1),'Scheme cost allocation'!$C$21:$C$42,0))*'Scheme cost allocation'!$J$21,'Scheme cost allocation'!$J$21)</f>
        <v>0.45855079888177602</v>
      </c>
      <c r="L221" s="148">
        <v>18.316626818300001</v>
      </c>
      <c r="M221" s="149" t="s">
        <v>191</v>
      </c>
      <c r="N221" s="148">
        <v>12361.239751155113</v>
      </c>
      <c r="O221" s="143">
        <f t="shared" si="11"/>
        <v>226416.21553344378</v>
      </c>
      <c r="P221" s="144">
        <f t="shared" si="10"/>
        <v>103823.33651264904</v>
      </c>
    </row>
    <row r="222" spans="3:16" x14ac:dyDescent="0.2">
      <c r="C222" s="145"/>
      <c r="D222" s="146" t="s">
        <v>222</v>
      </c>
      <c r="E222" s="137">
        <v>34516</v>
      </c>
      <c r="F222" s="138" t="str">
        <f t="shared" si="9"/>
        <v>Date check - OK</v>
      </c>
      <c r="H222" s="147" t="s">
        <v>190</v>
      </c>
      <c r="I222" s="148">
        <v>2304.2068742359793</v>
      </c>
      <c r="J222" s="141">
        <f>IF(OR(M222="metres",M222="pipe"),INDEX('Scheme cost allocation'!$D$21:$D$42,MATCH(IF(MONTH(E222)&lt;7,YEAR(E222),YEAR(E222)+1),'Scheme cost allocation'!$C$21:$C$42,0))*'Scheme cost allocation'!$J$21,'Scheme cost allocation'!$J$21)</f>
        <v>0.45855079888177602</v>
      </c>
      <c r="L222" s="148">
        <v>2.2948657912799999</v>
      </c>
      <c r="M222" s="149" t="s">
        <v>191</v>
      </c>
      <c r="N222" s="148">
        <v>12361.239751155113</v>
      </c>
      <c r="O222" s="143">
        <f t="shared" si="11"/>
        <v>28367.386242736367</v>
      </c>
      <c r="P222" s="144">
        <f t="shared" si="10"/>
        <v>13007.887623794664</v>
      </c>
    </row>
    <row r="223" spans="3:16" ht="22.8" x14ac:dyDescent="0.2">
      <c r="C223" s="145"/>
      <c r="D223" s="146" t="s">
        <v>227</v>
      </c>
      <c r="E223" s="137">
        <v>34516</v>
      </c>
      <c r="F223" s="138" t="str">
        <f t="shared" si="9"/>
        <v>Date check - OK</v>
      </c>
      <c r="H223" s="147" t="s">
        <v>190</v>
      </c>
      <c r="I223" s="148">
        <v>2304.2068742359793</v>
      </c>
      <c r="J223" s="141">
        <f>IF(OR(M223="metres",M223="pipe"),INDEX('Scheme cost allocation'!$D$21:$D$42,MATCH(IF(MONTH(E223)&lt;7,YEAR(E223),YEAR(E223)+1),'Scheme cost allocation'!$C$21:$C$42,0))*'Scheme cost allocation'!$J$21,'Scheme cost allocation'!$J$21)</f>
        <v>0.45855079888177602</v>
      </c>
      <c r="L223" s="148">
        <v>12.652031797499999</v>
      </c>
      <c r="M223" s="149" t="s">
        <v>191</v>
      </c>
      <c r="N223" s="148">
        <v>10996.071034776955</v>
      </c>
      <c r="O223" s="143">
        <f t="shared" si="11"/>
        <v>139122.64037956676</v>
      </c>
      <c r="P223" s="144">
        <f t="shared" si="10"/>
        <v>63794.797888592366</v>
      </c>
    </row>
    <row r="224" spans="3:16" x14ac:dyDescent="0.2">
      <c r="C224" s="145"/>
      <c r="D224" s="146" t="s">
        <v>196</v>
      </c>
      <c r="E224" s="137">
        <v>34881</v>
      </c>
      <c r="F224" s="138" t="str">
        <f t="shared" si="9"/>
        <v>Date check - OK</v>
      </c>
      <c r="H224" s="147" t="s">
        <v>190</v>
      </c>
      <c r="I224" s="148">
        <v>2304.2068742359793</v>
      </c>
      <c r="J224" s="141">
        <f>IF(OR(M224="metres",M224="pipe"),INDEX('Scheme cost allocation'!$D$21:$D$42,MATCH(IF(MONTH(E224)&lt;7,YEAR(E224),YEAR(E224)+1),'Scheme cost allocation'!$C$21:$C$42,0))*'Scheme cost allocation'!$J$21,'Scheme cost allocation'!$J$21)</f>
        <v>0.13039018586456833</v>
      </c>
      <c r="L224" s="148">
        <v>9.8605013512300008</v>
      </c>
      <c r="M224" s="149" t="s">
        <v>191</v>
      </c>
      <c r="N224" s="148">
        <v>13273.208678806823</v>
      </c>
      <c r="O224" s="143">
        <f t="shared" si="11"/>
        <v>130880.49211253245</v>
      </c>
      <c r="P224" s="144">
        <f t="shared" si="10"/>
        <v>17065.531692599274</v>
      </c>
    </row>
    <row r="225" spans="3:16" x14ac:dyDescent="0.2">
      <c r="C225" s="145"/>
      <c r="D225" s="146" t="s">
        <v>196</v>
      </c>
      <c r="E225" s="137">
        <v>34881</v>
      </c>
      <c r="F225" s="138" t="str">
        <f t="shared" si="9"/>
        <v>Date check - OK</v>
      </c>
      <c r="H225" s="147" t="s">
        <v>190</v>
      </c>
      <c r="I225" s="148">
        <v>2304.2068742359793</v>
      </c>
      <c r="J225" s="141">
        <f>IF(OR(M225="metres",M225="pipe"),INDEX('Scheme cost allocation'!$D$21:$D$42,MATCH(IF(MONTH(E225)&lt;7,YEAR(E225),YEAR(E225)+1),'Scheme cost allocation'!$C$21:$C$42,0))*'Scheme cost allocation'!$J$21,'Scheme cost allocation'!$J$21)</f>
        <v>0.13039018586456833</v>
      </c>
      <c r="L225" s="148">
        <v>13.3846173992</v>
      </c>
      <c r="M225" s="149" t="s">
        <v>191</v>
      </c>
      <c r="N225" s="148">
        <v>13273.208678806823</v>
      </c>
      <c r="O225" s="143">
        <f t="shared" si="11"/>
        <v>177656.81982557024</v>
      </c>
      <c r="P225" s="144">
        <f t="shared" si="10"/>
        <v>23164.705757164233</v>
      </c>
    </row>
    <row r="226" spans="3:16" x14ac:dyDescent="0.2">
      <c r="C226" s="145"/>
      <c r="D226" s="146" t="s">
        <v>196</v>
      </c>
      <c r="E226" s="137">
        <v>34881</v>
      </c>
      <c r="F226" s="138" t="str">
        <f t="shared" si="9"/>
        <v>Date check - OK</v>
      </c>
      <c r="H226" s="147" t="s">
        <v>190</v>
      </c>
      <c r="I226" s="148">
        <v>2304.2068742359793</v>
      </c>
      <c r="J226" s="141">
        <f>IF(OR(M226="metres",M226="pipe"),INDEX('Scheme cost allocation'!$D$21:$D$42,MATCH(IF(MONTH(E226)&lt;7,YEAR(E226),YEAR(E226)+1),'Scheme cost allocation'!$C$21:$C$42,0))*'Scheme cost allocation'!$J$21,'Scheme cost allocation'!$J$21)</f>
        <v>0.13039018586456833</v>
      </c>
      <c r="L226" s="148">
        <v>14.1719070557</v>
      </c>
      <c r="M226" s="149" t="s">
        <v>191</v>
      </c>
      <c r="N226" s="148">
        <v>13273.208678806823</v>
      </c>
      <c r="O226" s="143">
        <f t="shared" si="11"/>
        <v>188106.67972696089</v>
      </c>
      <c r="P226" s="144">
        <f t="shared" si="10"/>
        <v>24527.264931965259</v>
      </c>
    </row>
    <row r="227" spans="3:16" x14ac:dyDescent="0.2">
      <c r="C227" s="145"/>
      <c r="D227" s="146" t="s">
        <v>229</v>
      </c>
      <c r="E227" s="137">
        <v>34516</v>
      </c>
      <c r="F227" s="138" t="str">
        <f t="shared" si="9"/>
        <v>Date check - OK</v>
      </c>
      <c r="H227" s="147" t="s">
        <v>190</v>
      </c>
      <c r="I227" s="148">
        <v>2304.2068742359793</v>
      </c>
      <c r="J227" s="141">
        <f>IF(OR(M227="metres",M227="pipe"),INDEX('Scheme cost allocation'!$D$21:$D$42,MATCH(IF(MONTH(E227)&lt;7,YEAR(E227),YEAR(E227)+1),'Scheme cost allocation'!$C$21:$C$42,0))*'Scheme cost allocation'!$J$21,'Scheme cost allocation'!$J$21)</f>
        <v>0.90850599752846017</v>
      </c>
      <c r="L227" s="148">
        <v>1</v>
      </c>
      <c r="M227" s="150" t="s">
        <v>230</v>
      </c>
      <c r="N227" s="148">
        <v>2718517.1790109021</v>
      </c>
      <c r="O227" s="143">
        <f t="shared" si="11"/>
        <v>2718517.1790109021</v>
      </c>
      <c r="P227" s="144">
        <f t="shared" si="10"/>
        <v>2469789.1615155553</v>
      </c>
    </row>
    <row r="228" spans="3:16" x14ac:dyDescent="0.2">
      <c r="C228" s="145"/>
      <c r="D228" s="146" t="s">
        <v>229</v>
      </c>
      <c r="E228" s="137">
        <v>34516</v>
      </c>
      <c r="F228" s="138" t="str">
        <f t="shared" si="9"/>
        <v>Date check - OK</v>
      </c>
      <c r="H228" s="147" t="s">
        <v>190</v>
      </c>
      <c r="I228" s="148">
        <v>2304.2068742359793</v>
      </c>
      <c r="J228" s="141">
        <f>IF(OR(M228="metres",M228="pipe"),INDEX('Scheme cost allocation'!$D$21:$D$42,MATCH(IF(MONTH(E228)&lt;7,YEAR(E228),YEAR(E228)+1),'Scheme cost allocation'!$C$21:$C$42,0))*'Scheme cost allocation'!$J$21,'Scheme cost allocation'!$J$21)</f>
        <v>0.90850599752846017</v>
      </c>
      <c r="L228" s="148">
        <v>1</v>
      </c>
      <c r="M228" s="150" t="s">
        <v>230</v>
      </c>
      <c r="N228" s="148">
        <v>2718517.1790109021</v>
      </c>
      <c r="O228" s="143">
        <f t="shared" si="11"/>
        <v>2718517.1790109021</v>
      </c>
      <c r="P228" s="144">
        <f t="shared" si="10"/>
        <v>2469789.1615155553</v>
      </c>
    </row>
    <row r="229" spans="3:16" x14ac:dyDescent="0.2">
      <c r="C229" s="145"/>
      <c r="D229" s="146" t="s">
        <v>229</v>
      </c>
      <c r="E229" s="137">
        <v>34516</v>
      </c>
      <c r="F229" s="138" t="str">
        <f t="shared" si="9"/>
        <v>Date check - OK</v>
      </c>
      <c r="H229" s="147" t="s">
        <v>190</v>
      </c>
      <c r="I229" s="148">
        <v>2304.2068742359793</v>
      </c>
      <c r="J229" s="141">
        <f>IF(OR(M229="metres",M229="pipe"),INDEX('Scheme cost allocation'!$D$21:$D$42,MATCH(IF(MONTH(E229)&lt;7,YEAR(E229),YEAR(E229)+1),'Scheme cost allocation'!$C$21:$C$42,0))*'Scheme cost allocation'!$J$21,'Scheme cost allocation'!$J$21)</f>
        <v>0.90850599752846017</v>
      </c>
      <c r="L229" s="148">
        <v>1</v>
      </c>
      <c r="M229" s="150" t="s">
        <v>230</v>
      </c>
      <c r="N229" s="148">
        <v>2718517.1790109021</v>
      </c>
      <c r="O229" s="143">
        <f t="shared" si="11"/>
        <v>2718517.1790109021</v>
      </c>
      <c r="P229" s="144">
        <f t="shared" si="10"/>
        <v>2469789.1615155553</v>
      </c>
    </row>
    <row r="230" spans="3:16" x14ac:dyDescent="0.2">
      <c r="C230" s="145"/>
      <c r="D230" s="146" t="s">
        <v>229</v>
      </c>
      <c r="E230" s="137">
        <v>34516</v>
      </c>
      <c r="F230" s="138" t="str">
        <f t="shared" si="9"/>
        <v>Date check - OK</v>
      </c>
      <c r="H230" s="147" t="s">
        <v>190</v>
      </c>
      <c r="I230" s="148">
        <v>2304.2068742359793</v>
      </c>
      <c r="J230" s="141">
        <f>IF(OR(M230="metres",M230="pipe"),INDEX('Scheme cost allocation'!$D$21:$D$42,MATCH(IF(MONTH(E230)&lt;7,YEAR(E230),YEAR(E230)+1),'Scheme cost allocation'!$C$21:$C$42,0))*'Scheme cost allocation'!$J$21,'Scheme cost allocation'!$J$21)</f>
        <v>0.90850599752846017</v>
      </c>
      <c r="L230" s="148">
        <v>1</v>
      </c>
      <c r="M230" s="150" t="s">
        <v>230</v>
      </c>
      <c r="N230" s="148">
        <v>2718517.1790109021</v>
      </c>
      <c r="O230" s="143">
        <f t="shared" si="11"/>
        <v>2718517.1790109021</v>
      </c>
      <c r="P230" s="144">
        <f t="shared" si="10"/>
        <v>2469789.1615155553</v>
      </c>
    </row>
    <row r="231" spans="3:16" x14ac:dyDescent="0.2">
      <c r="C231" s="145"/>
      <c r="D231" s="146" t="s">
        <v>231</v>
      </c>
      <c r="E231" s="137">
        <v>34516</v>
      </c>
      <c r="F231" s="138" t="str">
        <f t="shared" si="9"/>
        <v>Date check - OK</v>
      </c>
      <c r="H231" s="147" t="s">
        <v>190</v>
      </c>
      <c r="I231" s="148">
        <v>2304.2068742359793</v>
      </c>
      <c r="J231" s="141">
        <f>IF(OR(M231="metres",M231="pipe"),INDEX('Scheme cost allocation'!$D$21:$D$42,MATCH(IF(MONTH(E231)&lt;7,YEAR(E231),YEAR(E231)+1),'Scheme cost allocation'!$C$21:$C$42,0))*'Scheme cost allocation'!$J$21,'Scheme cost allocation'!$J$21)</f>
        <v>0.90850599752846017</v>
      </c>
      <c r="L231" s="148">
        <v>1</v>
      </c>
      <c r="M231" s="150" t="s">
        <v>230</v>
      </c>
      <c r="N231" s="148">
        <v>419125.43954281433</v>
      </c>
      <c r="O231" s="143">
        <f t="shared" si="11"/>
        <v>419125.43954281433</v>
      </c>
      <c r="P231" s="144">
        <f t="shared" si="10"/>
        <v>380777.97554139886</v>
      </c>
    </row>
    <row r="232" spans="3:16" x14ac:dyDescent="0.2">
      <c r="C232" s="145"/>
      <c r="D232" s="146" t="s">
        <v>232</v>
      </c>
      <c r="E232" s="137">
        <v>34911</v>
      </c>
      <c r="F232" s="138" t="str">
        <f t="shared" si="9"/>
        <v>Date check - OK</v>
      </c>
      <c r="H232" s="147" t="s">
        <v>190</v>
      </c>
      <c r="I232" s="148">
        <v>2304.2068742359793</v>
      </c>
      <c r="J232" s="141">
        <f>IF(OR(M232="metres",M232="pipe"),INDEX('Scheme cost allocation'!$D$21:$D$42,MATCH(IF(MONTH(E232)&lt;7,YEAR(E232),YEAR(E232)+1),'Scheme cost allocation'!$C$21:$C$42,0))*'Scheme cost allocation'!$J$21,'Scheme cost allocation'!$J$21)</f>
        <v>0.90850599752846017</v>
      </c>
      <c r="L232" s="148">
        <v>1</v>
      </c>
      <c r="M232" s="150" t="s">
        <v>230</v>
      </c>
      <c r="N232" s="148">
        <v>2718517.1790109021</v>
      </c>
      <c r="O232" s="143">
        <f t="shared" si="11"/>
        <v>2718517.1790109021</v>
      </c>
      <c r="P232" s="144">
        <f t="shared" si="10"/>
        <v>2469789.1615155553</v>
      </c>
    </row>
    <row r="233" spans="3:16" x14ac:dyDescent="0.2">
      <c r="C233" s="145"/>
      <c r="D233" s="146" t="s">
        <v>233</v>
      </c>
      <c r="E233" s="137">
        <v>34911</v>
      </c>
      <c r="F233" s="138" t="str">
        <f t="shared" si="9"/>
        <v>Date check - OK</v>
      </c>
      <c r="H233" s="147" t="s">
        <v>190</v>
      </c>
      <c r="I233" s="148">
        <v>2304.2068742359793</v>
      </c>
      <c r="J233" s="141">
        <f>IF(OR(M233="metres",M233="pipe"),INDEX('Scheme cost allocation'!$D$21:$D$42,MATCH(IF(MONTH(E233)&lt;7,YEAR(E233),YEAR(E233)+1),'Scheme cost allocation'!$C$21:$C$42,0))*'Scheme cost allocation'!$J$21,'Scheme cost allocation'!$J$21)</f>
        <v>0.90850599752846017</v>
      </c>
      <c r="L233" s="148">
        <v>1</v>
      </c>
      <c r="M233" s="150" t="s">
        <v>234</v>
      </c>
      <c r="N233" s="148">
        <v>3386135.9638341265</v>
      </c>
      <c r="O233" s="143">
        <f t="shared" si="11"/>
        <v>3386135.9638341265</v>
      </c>
      <c r="P233" s="144">
        <f t="shared" si="10"/>
        <v>3076324.831590117</v>
      </c>
    </row>
    <row r="234" spans="3:16" x14ac:dyDescent="0.2">
      <c r="C234" s="145"/>
      <c r="D234" s="146" t="s">
        <v>235</v>
      </c>
      <c r="E234" s="137">
        <v>34516</v>
      </c>
      <c r="F234" s="138" t="str">
        <f t="shared" si="9"/>
        <v>Date check - OK</v>
      </c>
      <c r="H234" s="147" t="s">
        <v>190</v>
      </c>
      <c r="I234" s="148">
        <v>2304.2068742359793</v>
      </c>
      <c r="J234" s="141">
        <f>IF(OR(M234="metres",M234="pipe"),INDEX('Scheme cost allocation'!$D$21:$D$42,MATCH(IF(MONTH(E234)&lt;7,YEAR(E234),YEAR(E234)+1),'Scheme cost allocation'!$C$21:$C$42,0))*'Scheme cost allocation'!$J$21,'Scheme cost allocation'!$J$21)</f>
        <v>0.90850599752846017</v>
      </c>
      <c r="L234" s="148">
        <v>1</v>
      </c>
      <c r="M234" s="150" t="s">
        <v>234</v>
      </c>
      <c r="N234" s="148">
        <v>3386135.9638341265</v>
      </c>
      <c r="O234" s="143">
        <f t="shared" si="11"/>
        <v>3386135.9638341265</v>
      </c>
      <c r="P234" s="144">
        <f t="shared" si="10"/>
        <v>3076324.831590117</v>
      </c>
    </row>
    <row r="235" spans="3:16" x14ac:dyDescent="0.2">
      <c r="C235" s="145"/>
      <c r="D235" s="146" t="s">
        <v>236</v>
      </c>
      <c r="E235" s="137">
        <v>34516</v>
      </c>
      <c r="F235" s="138" t="str">
        <f t="shared" si="9"/>
        <v>Date check - OK</v>
      </c>
      <c r="H235" s="147" t="s">
        <v>190</v>
      </c>
      <c r="I235" s="148">
        <v>2304.2068742359793</v>
      </c>
      <c r="J235" s="141">
        <f>IF(OR(M235="metres",M235="pipe"),INDEX('Scheme cost allocation'!$D$21:$D$42,MATCH(IF(MONTH(E235)&lt;7,YEAR(E235),YEAR(E235)+1),'Scheme cost allocation'!$C$21:$C$42,0))*'Scheme cost allocation'!$J$21,'Scheme cost allocation'!$J$21)</f>
        <v>0.90850599752846017</v>
      </c>
      <c r="L235" s="148">
        <v>1</v>
      </c>
      <c r="M235" s="150" t="s">
        <v>234</v>
      </c>
      <c r="N235" s="148">
        <v>3386135.9638341265</v>
      </c>
      <c r="O235" s="143">
        <f t="shared" si="11"/>
        <v>3386135.9638341265</v>
      </c>
      <c r="P235" s="144">
        <f t="shared" si="10"/>
        <v>3076324.831590117</v>
      </c>
    </row>
    <row r="236" spans="3:16" x14ac:dyDescent="0.2">
      <c r="C236" s="145"/>
      <c r="D236" s="146" t="s">
        <v>237</v>
      </c>
      <c r="E236" s="137">
        <v>34516</v>
      </c>
      <c r="F236" s="138" t="str">
        <f t="shared" si="9"/>
        <v>Date check - OK</v>
      </c>
      <c r="H236" s="147" t="s">
        <v>190</v>
      </c>
      <c r="I236" s="148">
        <v>2304.2068742359793</v>
      </c>
      <c r="J236" s="141">
        <f>IF(OR(M236="metres",M236="pipe"),INDEX('Scheme cost allocation'!$D$21:$D$42,MATCH(IF(MONTH(E236)&lt;7,YEAR(E236),YEAR(E236)+1),'Scheme cost allocation'!$C$21:$C$42,0))*'Scheme cost allocation'!$J$21,'Scheme cost allocation'!$J$21)</f>
        <v>0.90850599752846017</v>
      </c>
      <c r="L236" s="148">
        <v>1</v>
      </c>
      <c r="M236" s="150" t="s">
        <v>234</v>
      </c>
      <c r="N236" s="148">
        <v>10160064.504202994</v>
      </c>
      <c r="O236" s="143">
        <f t="shared" si="11"/>
        <v>10160064.504202994</v>
      </c>
      <c r="P236" s="144">
        <f t="shared" si="10"/>
        <v>9230479.5373444408</v>
      </c>
    </row>
    <row r="237" spans="3:16" x14ac:dyDescent="0.2">
      <c r="C237" s="145"/>
      <c r="D237" s="146" t="s">
        <v>237</v>
      </c>
      <c r="E237" s="137">
        <v>34516</v>
      </c>
      <c r="F237" s="138" t="str">
        <f t="shared" si="9"/>
        <v>Date check - OK</v>
      </c>
      <c r="H237" s="147" t="s">
        <v>190</v>
      </c>
      <c r="I237" s="148">
        <v>2304.2068742359793</v>
      </c>
      <c r="J237" s="141">
        <f>IF(OR(M237="metres",M237="pipe"),INDEX('Scheme cost allocation'!$D$21:$D$42,MATCH(IF(MONTH(E237)&lt;7,YEAR(E237),YEAR(E237)+1),'Scheme cost allocation'!$C$21:$C$42,0))*'Scheme cost allocation'!$J$21,'Scheme cost allocation'!$J$21)</f>
        <v>0.90850599752846017</v>
      </c>
      <c r="L237" s="148">
        <v>1</v>
      </c>
      <c r="M237" s="150" t="s">
        <v>234</v>
      </c>
      <c r="N237" s="148">
        <v>3386135.9638341265</v>
      </c>
      <c r="O237" s="143">
        <f t="shared" si="11"/>
        <v>3386135.9638341265</v>
      </c>
      <c r="P237" s="144">
        <f t="shared" si="10"/>
        <v>3076324.831590117</v>
      </c>
    </row>
    <row r="238" spans="3:16" x14ac:dyDescent="0.2">
      <c r="C238" s="145"/>
      <c r="D238" s="146" t="s">
        <v>238</v>
      </c>
      <c r="E238" s="137">
        <v>34881</v>
      </c>
      <c r="F238" s="138" t="str">
        <f t="shared" si="9"/>
        <v>Date check - OK</v>
      </c>
      <c r="H238" s="147" t="s">
        <v>190</v>
      </c>
      <c r="I238" s="148">
        <v>2304.2068742359793</v>
      </c>
      <c r="J238" s="141">
        <f>IF(OR(M238="metres",M238="pipe"),INDEX('Scheme cost allocation'!$D$21:$D$42,MATCH(IF(MONTH(E238)&lt;7,YEAR(E238),YEAR(E238)+1),'Scheme cost allocation'!$C$21:$C$42,0))*'Scheme cost allocation'!$J$21,'Scheme cost allocation'!$J$21)</f>
        <v>0.90850599752846017</v>
      </c>
      <c r="L238" s="148">
        <v>1</v>
      </c>
      <c r="M238" s="150" t="s">
        <v>234</v>
      </c>
      <c r="N238" s="148">
        <v>3386135.9638341265</v>
      </c>
      <c r="O238" s="143">
        <f t="shared" si="11"/>
        <v>3386135.9638341265</v>
      </c>
      <c r="P238" s="144">
        <f t="shared" si="10"/>
        <v>3076324.831590117</v>
      </c>
    </row>
    <row r="239" spans="3:16" x14ac:dyDescent="0.2">
      <c r="C239" s="145"/>
      <c r="D239" s="146" t="s">
        <v>239</v>
      </c>
      <c r="E239" s="137">
        <v>34516</v>
      </c>
      <c r="F239" s="138" t="str">
        <f t="shared" si="9"/>
        <v>Date check - OK</v>
      </c>
      <c r="H239" s="147" t="s">
        <v>190</v>
      </c>
      <c r="I239" s="148">
        <v>2304.2068742359793</v>
      </c>
      <c r="J239" s="141">
        <f>IF(OR(M239="metres",M239="pipe"),INDEX('Scheme cost allocation'!$D$21:$D$42,MATCH(IF(MONTH(E239)&lt;7,YEAR(E239),YEAR(E239)+1),'Scheme cost allocation'!$C$21:$C$42,0))*'Scheme cost allocation'!$J$21,'Scheme cost allocation'!$J$21)</f>
        <v>0.90850599752846017</v>
      </c>
      <c r="L239" s="148">
        <v>1</v>
      </c>
      <c r="M239" s="150" t="s">
        <v>234</v>
      </c>
      <c r="N239" s="148">
        <v>10160064.504202994</v>
      </c>
      <c r="O239" s="143">
        <f t="shared" si="11"/>
        <v>10160064.504202994</v>
      </c>
      <c r="P239" s="144">
        <f t="shared" si="10"/>
        <v>9230479.5373444408</v>
      </c>
    </row>
    <row r="240" spans="3:16" x14ac:dyDescent="0.2">
      <c r="C240" s="145"/>
      <c r="D240" s="146" t="s">
        <v>240</v>
      </c>
      <c r="E240" s="137">
        <v>34516</v>
      </c>
      <c r="F240" s="138" t="str">
        <f t="shared" si="9"/>
        <v>Date check - OK</v>
      </c>
      <c r="H240" s="147" t="s">
        <v>190</v>
      </c>
      <c r="I240" s="148">
        <v>2304.2068742359793</v>
      </c>
      <c r="J240" s="141">
        <f>IF(OR(M240="metres",M240="pipe"),INDEX('Scheme cost allocation'!$D$21:$D$42,MATCH(IF(MONTH(E240)&lt;7,YEAR(E240),YEAR(E240)+1),'Scheme cost allocation'!$C$21:$C$42,0))*'Scheme cost allocation'!$J$21,'Scheme cost allocation'!$J$21)</f>
        <v>0.90850599752846017</v>
      </c>
      <c r="L240" s="148">
        <v>1</v>
      </c>
      <c r="M240" s="150" t="s">
        <v>234</v>
      </c>
      <c r="N240" s="148">
        <v>3386135.9638341265</v>
      </c>
      <c r="O240" s="143">
        <f t="shared" si="11"/>
        <v>3386135.9638341265</v>
      </c>
      <c r="P240" s="144">
        <f t="shared" si="10"/>
        <v>3076324.831590117</v>
      </c>
    </row>
    <row r="241" spans="3:16" x14ac:dyDescent="0.2">
      <c r="C241" s="145"/>
      <c r="D241" s="146" t="s">
        <v>241</v>
      </c>
      <c r="E241" s="151">
        <v>34579</v>
      </c>
      <c r="F241" s="138" t="str">
        <f t="shared" si="9"/>
        <v>Date check - OK</v>
      </c>
      <c r="H241" s="147" t="s">
        <v>190</v>
      </c>
      <c r="I241" s="148">
        <v>2304.2068742359793</v>
      </c>
      <c r="J241" s="141">
        <f>IF(OR(M241="metres",M241="pipe"),INDEX('Scheme cost allocation'!$D$21:$D$42,MATCH(IF(MONTH(E241)&lt;7,YEAR(E241),YEAR(E241)+1),'Scheme cost allocation'!$C$21:$C$42,0))*'Scheme cost allocation'!$J$21,'Scheme cost allocation'!$J$21)</f>
        <v>0.90850599752846017</v>
      </c>
      <c r="K241" s="47"/>
      <c r="L241" s="148">
        <v>1</v>
      </c>
      <c r="M241" s="145" t="s">
        <v>242</v>
      </c>
      <c r="N241" s="148">
        <v>846358.62786115566</v>
      </c>
      <c r="O241" s="143">
        <f t="shared" ref="O241" si="12">IF(N241="","-",L241*N241)</f>
        <v>846358.62786115566</v>
      </c>
      <c r="P241" s="144">
        <f t="shared" ref="P241" si="13">IF(O241="-","-",IF(OR(E241&lt;$E$15,E241&gt;$E$16),0,O241*J241))</f>
        <v>768921.88947181799</v>
      </c>
    </row>
    <row r="242" spans="3:16" ht="57.6" thickBot="1" x14ac:dyDescent="0.25">
      <c r="C242" s="152"/>
      <c r="D242" s="153" t="s">
        <v>243</v>
      </c>
      <c r="E242" s="154"/>
      <c r="F242" s="155" t="str">
        <f t="shared" si="3"/>
        <v>-</v>
      </c>
      <c r="H242" s="156"/>
      <c r="I242" s="156"/>
      <c r="J242" s="157" t="str">
        <f>IFERROR(MIN('MP Calculations'!$E$29/I242,1),"-")</f>
        <v>-</v>
      </c>
      <c r="L242" s="158"/>
      <c r="M242" s="159"/>
      <c r="N242" s="158"/>
      <c r="O242" s="160" t="str">
        <f t="shared" si="11"/>
        <v>-</v>
      </c>
      <c r="P242" s="161" t="str">
        <f t="shared" si="5"/>
        <v>-</v>
      </c>
    </row>
    <row r="243" spans="3:16" ht="12.6" thickTop="1" x14ac:dyDescent="0.25">
      <c r="O243" s="73" t="s">
        <v>244</v>
      </c>
      <c r="P243" s="162">
        <f>SUM(P22:P242)</f>
        <v>84627883.799055815</v>
      </c>
    </row>
  </sheetData>
  <sheetProtection algorithmName="SHA-512" hashValue="KjP1vwISVEGg036ufAbahptMGlzL0gXYWY0h2mjvulQoaNelckPW3ChQaqWdJRbKqDP0k3oLKU4xF1VZZloDhA==" saltValue="m3D3fpYN1T/ZOAx3+jr+Ug==" spinCount="100000" sheet="1" objects="1" scenarios="1"/>
  <conditionalFormatting sqref="F22:F242">
    <cfRule type="containsText" dxfId="8" priority="2" operator="containsText" text="ERROR">
      <formula>NOT(ISERROR(SEARCH("ERROR",F22)))</formula>
    </cfRule>
  </conditionalFormatting>
  <conditionalFormatting sqref="J22:J242">
    <cfRule type="cellIs" dxfId="7" priority="1" operator="equal">
      <formula>1</formula>
    </cfRule>
  </conditionalFormatting>
  <hyperlinks>
    <hyperlink ref="E7" location="'Asset exclusions'!A1" display="'Asset exclusions'!A1" xr:uid="{00000000-0004-0000-0500-000000000000}"/>
  </hyperlinks>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7" tint="0.79998168889431442"/>
  </sheetPr>
  <dimension ref="C1:W541"/>
  <sheetViews>
    <sheetView showGridLines="0" zoomScale="85" zoomScaleNormal="85" workbookViewId="0">
      <selection activeCell="H21" sqref="H21"/>
    </sheetView>
  </sheetViews>
  <sheetFormatPr defaultRowHeight="11.4" x14ac:dyDescent="0.2"/>
  <cols>
    <col min="1" max="2" width="2.75" style="39" customWidth="1"/>
    <col min="3" max="3" width="15.75" style="39" customWidth="1"/>
    <col min="4" max="4" width="49.75" style="39" customWidth="1"/>
    <col min="5" max="5" width="15.75" style="39" customWidth="1"/>
    <col min="6" max="6" width="25.875" style="39" bestFit="1" customWidth="1"/>
    <col min="7" max="7" width="2.75" style="39" customWidth="1"/>
    <col min="8" max="10" width="15.75" style="39" customWidth="1"/>
    <col min="11" max="11" width="2.75" style="39" customWidth="1"/>
    <col min="12" max="13" width="15.75" style="39" customWidth="1"/>
    <col min="14" max="14" width="18" style="39" customWidth="1"/>
    <col min="15" max="16" width="15.75" style="39" customWidth="1"/>
    <col min="17" max="17" width="9" style="39"/>
    <col min="18" max="18" width="15.875" style="39" bestFit="1" customWidth="1"/>
    <col min="19" max="19" width="9" style="39"/>
    <col min="20" max="20" width="11.375" style="39" bestFit="1" customWidth="1"/>
    <col min="21" max="21" width="14.75" style="39" customWidth="1"/>
    <col min="22" max="23" width="11.375" style="39" bestFit="1" customWidth="1"/>
    <col min="24" max="16384" width="9" style="39"/>
  </cols>
  <sheetData>
    <row r="1" spans="3:5" x14ac:dyDescent="0.2">
      <c r="E1" s="127"/>
    </row>
    <row r="2" spans="3:5" x14ac:dyDescent="0.2">
      <c r="E2" s="127"/>
    </row>
    <row r="3" spans="3:5" ht="21" x14ac:dyDescent="0.4">
      <c r="C3" s="54" t="s">
        <v>245</v>
      </c>
    </row>
    <row r="5" spans="3:5" x14ac:dyDescent="0.2">
      <c r="D5" s="127"/>
    </row>
    <row r="6" spans="3:5" ht="12" customHeight="1" x14ac:dyDescent="0.25">
      <c r="C6" s="128" t="str">
        <f ca="1">"Consideration must be given to the principles regarding asset exclusions presented on the '"&amp;MID(CELL("filename",'Asset exclusions'!A1),FIND("]",CELL("filename",'Asset exclusions'!A1))+1,255)&amp;"' worksheet before they are entered into the register."</f>
        <v>Consideration must be given to the principles regarding asset exclusions presented on the 'Asset exclusions' worksheet before they are entered into the register.</v>
      </c>
    </row>
    <row r="7" spans="3:5" ht="12" x14ac:dyDescent="0.25">
      <c r="C7" s="65" t="str">
        <f ca="1">"Hyperlink to the '"&amp;MID(CELL("filename",'Asset exclusions'!A1),FIND("]",CELL("filename",'Asset exclusions'!A1))+1,255)&amp;"' worksheet:"</f>
        <v>Hyperlink to the 'Asset exclusions' worksheet:</v>
      </c>
      <c r="E7" s="129" t="s">
        <v>168</v>
      </c>
    </row>
    <row r="8" spans="3:5" ht="12" x14ac:dyDescent="0.25">
      <c r="C8" s="65"/>
      <c r="E8" s="129"/>
    </row>
    <row r="9" spans="3:5" ht="12" x14ac:dyDescent="0.25">
      <c r="C9" s="65" t="s">
        <v>169</v>
      </c>
      <c r="E9" s="129"/>
    </row>
    <row r="10" spans="3:5" ht="12" x14ac:dyDescent="0.25">
      <c r="C10" s="65" t="s">
        <v>170</v>
      </c>
      <c r="E10" s="129"/>
    </row>
    <row r="11" spans="3:5" ht="12" x14ac:dyDescent="0.25">
      <c r="C11" s="65" t="s">
        <v>171</v>
      </c>
      <c r="E11" s="129"/>
    </row>
    <row r="12" spans="3:5" ht="12" x14ac:dyDescent="0.25">
      <c r="C12" s="65" t="s">
        <v>172</v>
      </c>
      <c r="E12" s="129"/>
    </row>
    <row r="14" spans="3:5" ht="12" x14ac:dyDescent="0.25">
      <c r="C14" s="73" t="s">
        <v>173</v>
      </c>
    </row>
    <row r="15" spans="3:5" x14ac:dyDescent="0.2">
      <c r="C15" s="121" t="s">
        <v>174</v>
      </c>
      <c r="E15" s="130">
        <f>'General inputs'!$H$24+1</f>
        <v>35065</v>
      </c>
    </row>
    <row r="16" spans="3:5" x14ac:dyDescent="0.2">
      <c r="C16" s="121" t="s">
        <v>175</v>
      </c>
      <c r="E16" s="131">
        <f>'General inputs'!$H$18</f>
        <v>45838</v>
      </c>
    </row>
    <row r="18" spans="3:23" ht="15.6" x14ac:dyDescent="0.3">
      <c r="C18" s="55" t="s">
        <v>246</v>
      </c>
    </row>
    <row r="20" spans="3:23" ht="12" x14ac:dyDescent="0.25">
      <c r="C20" s="73" t="s">
        <v>177</v>
      </c>
      <c r="H20" s="73" t="s">
        <v>178</v>
      </c>
      <c r="L20" s="73" t="s">
        <v>179</v>
      </c>
      <c r="M20" s="73"/>
    </row>
    <row r="21" spans="3:23" ht="70.95" customHeight="1" x14ac:dyDescent="0.2">
      <c r="C21" s="97" t="s">
        <v>180</v>
      </c>
      <c r="D21" s="133" t="s">
        <v>181</v>
      </c>
      <c r="E21" s="97" t="s">
        <v>182</v>
      </c>
      <c r="F21" s="97" t="s">
        <v>247</v>
      </c>
      <c r="H21" s="133" t="s">
        <v>184</v>
      </c>
      <c r="I21" s="163" t="s">
        <v>185</v>
      </c>
      <c r="J21" s="97" t="s">
        <v>186</v>
      </c>
      <c r="L21" s="97" t="s">
        <v>187</v>
      </c>
      <c r="M21" s="97" t="s">
        <v>188</v>
      </c>
      <c r="N21" s="133" t="str">
        <f>"MEERA value per unit/measure of length (B) 
("&amp;'General inputs'!$H$42&amp;" as at 1 July "&amp;LEFT('General inputs'!$I$40,4)&amp;")"</f>
        <v>MEERA value per unit/measure of length (B) 
($ as at 1 July 2025)</v>
      </c>
      <c r="O21" s="97" t="str">
        <f>"Total MEERA value (A x B)
("&amp;'General inputs'!$H$42&amp;", $"&amp;'General inputs'!$I$40&amp;")"</f>
        <v>Total MEERA value (A x B)
($, $2025-26)</v>
      </c>
      <c r="P21" s="97" t="str">
        <f>"MEERA value to be recovered via DSP ("&amp;'General inputs'!$H$42&amp;", $"&amp;'General inputs'!$I$40&amp;")"</f>
        <v>MEERA value to be recovered via DSP ($, $2025-26)</v>
      </c>
    </row>
    <row r="22" spans="3:23" ht="12" customHeight="1" x14ac:dyDescent="0.2">
      <c r="C22" s="135"/>
      <c r="D22" s="164" t="s">
        <v>248</v>
      </c>
      <c r="E22" s="137">
        <v>35257</v>
      </c>
      <c r="F22" s="165" t="str">
        <f>IF(E22="","-",IF(OR(E22&lt;$E$15,E22&gt;$E$16),"ERROR - date outside of range",IF(MONTH(E22)&gt;=7,YEAR(E22)&amp;"-"&amp;IF(YEAR(E22)=1999,"00",IF(AND(YEAR(E22)&gt;=2000,YEAR(E22)&lt;2009),"0","")&amp;RIGHT(YEAR(E22),2)+1),RIGHT(YEAR(E22),4)-1&amp;"-"&amp;RIGHT(YEAR(E22),2))))</f>
        <v>1996-97</v>
      </c>
      <c r="H22" s="166" t="s">
        <v>190</v>
      </c>
      <c r="I22" s="167">
        <v>25184.239534746899</v>
      </c>
      <c r="J22" s="168">
        <f>IF(E22&lt;DATE(2016,1,1),IF(OR(M22="metres",M22="pipe"),INDEX('Scheme cost allocation'!$D$21:$D$42,MATCH(IF(MONTH(E22)&lt;7,YEAR(E22),YEAR(E22)+1),'Scheme cost allocation'!$C$21:$C$42,0))*'Scheme cost allocation'!$J$21,'Scheme cost allocation'!$J$21),'Scheme cost allocation'!$J$21)</f>
        <v>3.3521697195487775E-2</v>
      </c>
      <c r="K22" s="47"/>
      <c r="L22" s="169">
        <v>47.360660901199999</v>
      </c>
      <c r="M22" s="170" t="s">
        <v>191</v>
      </c>
      <c r="N22" s="169">
        <v>3091.2571944145911</v>
      </c>
      <c r="O22" s="143">
        <f>IF(N22="","-",L22*N22)</f>
        <v>146403.98374306434</v>
      </c>
      <c r="P22" s="171">
        <f t="shared" ref="P22:P85" si="0">IF(O22="-","-",IF(OR(E22&lt;$E$15,E22&gt;$E$16),0,O22*J22))</f>
        <v>4907.7100112481176</v>
      </c>
      <c r="W22" s="49"/>
    </row>
    <row r="23" spans="3:23" x14ac:dyDescent="0.2">
      <c r="C23" s="145"/>
      <c r="D23" s="164" t="s">
        <v>248</v>
      </c>
      <c r="E23" s="137">
        <v>35257</v>
      </c>
      <c r="F23" s="172" t="str">
        <f t="shared" ref="F23:F104" si="1">IF(E23="","-",IF(OR(E23&lt;$E$15,E23&gt;$E$16),"ERROR - date outside of range",IF(MONTH(E23)&gt;=7,YEAR(E23)&amp;"-"&amp;IF(YEAR(E23)=1999,"00",IF(AND(YEAR(E23)&gt;=2000,YEAR(E23)&lt;2009),"0","")&amp;RIGHT(YEAR(E23),2)+1),RIGHT(YEAR(E23),4)-1&amp;"-"&amp;RIGHT(YEAR(E23),2))))</f>
        <v>1996-97</v>
      </c>
      <c r="H23" s="173" t="s">
        <v>190</v>
      </c>
      <c r="I23" s="174">
        <v>25184.239534746859</v>
      </c>
      <c r="J23" s="168">
        <f>IF(E23&lt;DATE(2016,1,1),IF(OR(M23="metres",M23="pipe"),INDEX('Scheme cost allocation'!$D$21:$D$42,MATCH(IF(MONTH(E23)&lt;7,YEAR(E23),YEAR(E23)+1),'Scheme cost allocation'!$C$21:$C$42,0))*'Scheme cost allocation'!$J$21,'Scheme cost allocation'!$J$21),'Scheme cost allocation'!$J$21)</f>
        <v>3.3521697195487775E-2</v>
      </c>
      <c r="K23" s="47"/>
      <c r="L23" s="169">
        <v>48.517737828599998</v>
      </c>
      <c r="M23" s="175" t="s">
        <v>191</v>
      </c>
      <c r="N23" s="169">
        <v>3091.2571944145907</v>
      </c>
      <c r="O23" s="143">
        <f t="shared" ref="O23:O85" si="2">IF(N23="","-",L23*N23)</f>
        <v>149980.80611938069</v>
      </c>
      <c r="P23" s="144">
        <f t="shared" si="0"/>
        <v>5027.6111678690395</v>
      </c>
      <c r="W23" s="49"/>
    </row>
    <row r="24" spans="3:23" x14ac:dyDescent="0.2">
      <c r="C24" s="145"/>
      <c r="D24" s="164" t="s">
        <v>248</v>
      </c>
      <c r="E24" s="137">
        <v>35257</v>
      </c>
      <c r="F24" s="172" t="str">
        <f t="shared" si="1"/>
        <v>1996-97</v>
      </c>
      <c r="H24" s="173" t="s">
        <v>190</v>
      </c>
      <c r="I24" s="174">
        <v>25184.239534746859</v>
      </c>
      <c r="J24" s="168">
        <f>IF(E24&lt;DATE(2016,1,1),IF(OR(M24="metres",M24="pipe"),INDEX('Scheme cost allocation'!$D$21:$D$42,MATCH(IF(MONTH(E24)&lt;7,YEAR(E24),YEAR(E24)+1),'Scheme cost allocation'!$C$21:$C$42,0))*'Scheme cost allocation'!$J$21,'Scheme cost allocation'!$J$21),'Scheme cost allocation'!$J$21)</f>
        <v>3.3521697195487775E-2</v>
      </c>
      <c r="K24" s="47"/>
      <c r="L24" s="169">
        <v>44.887416009399999</v>
      </c>
      <c r="M24" s="175" t="s">
        <v>191</v>
      </c>
      <c r="N24" s="169">
        <v>3091.2571944145907</v>
      </c>
      <c r="O24" s="143">
        <f t="shared" si="2"/>
        <v>138758.54767773842</v>
      </c>
      <c r="P24" s="144">
        <f t="shared" si="0"/>
        <v>4651.4220185388003</v>
      </c>
    </row>
    <row r="25" spans="3:23" x14ac:dyDescent="0.2">
      <c r="C25" s="176"/>
      <c r="D25" s="164" t="s">
        <v>248</v>
      </c>
      <c r="E25" s="137">
        <v>36154</v>
      </c>
      <c r="F25" s="172" t="str">
        <f t="shared" si="1"/>
        <v>1998-99</v>
      </c>
      <c r="H25" s="173" t="s">
        <v>190</v>
      </c>
      <c r="I25" s="174">
        <v>25184.239534746859</v>
      </c>
      <c r="J25" s="168">
        <f>IF(E25&lt;DATE(2016,1,1),IF(OR(M25="metres",M25="pipe"),INDEX('Scheme cost allocation'!$D$21:$D$42,MATCH(IF(MONTH(E25)&lt;7,YEAR(E25),YEAR(E25)+1),'Scheme cost allocation'!$C$21:$C$42,0))*'Scheme cost allocation'!$J$21,'Scheme cost allocation'!$J$21),'Scheme cost allocation'!$J$21)</f>
        <v>0.20166333885014529</v>
      </c>
      <c r="K25" s="47"/>
      <c r="L25" s="169">
        <v>1.68740356658</v>
      </c>
      <c r="M25" s="175" t="s">
        <v>191</v>
      </c>
      <c r="N25" s="169">
        <v>3091.2571944145907</v>
      </c>
      <c r="O25" s="143">
        <f t="shared" si="2"/>
        <v>5216.1984150712651</v>
      </c>
      <c r="P25" s="144">
        <f t="shared" si="0"/>
        <v>1051.9159884881074</v>
      </c>
    </row>
    <row r="26" spans="3:23" x14ac:dyDescent="0.2">
      <c r="C26" s="145"/>
      <c r="D26" s="164" t="s">
        <v>249</v>
      </c>
      <c r="E26" s="137">
        <v>36154</v>
      </c>
      <c r="F26" s="172" t="str">
        <f t="shared" si="1"/>
        <v>1998-99</v>
      </c>
      <c r="H26" s="173" t="s">
        <v>190</v>
      </c>
      <c r="I26" s="174">
        <v>25184.239534746859</v>
      </c>
      <c r="J26" s="168">
        <f>IF(E26&lt;DATE(2016,1,1),IF(OR(M26="metres",M26="pipe"),INDEX('Scheme cost allocation'!$D$21:$D$42,MATCH(IF(MONTH(E26)&lt;7,YEAR(E26),YEAR(E26)+1),'Scheme cost allocation'!$C$21:$C$42,0))*'Scheme cost allocation'!$J$21,'Scheme cost allocation'!$J$21),'Scheme cost allocation'!$J$21)</f>
        <v>0.20166333885014529</v>
      </c>
      <c r="K26" s="47"/>
      <c r="L26" s="169">
        <v>66.739065681200003</v>
      </c>
      <c r="M26" s="175" t="s">
        <v>191</v>
      </c>
      <c r="N26" s="169">
        <v>2431.9215227227328</v>
      </c>
      <c r="O26" s="143">
        <f t="shared" si="2"/>
        <v>162304.17023651639</v>
      </c>
      <c r="P26" s="144">
        <f t="shared" si="0"/>
        <v>32730.800879198272</v>
      </c>
    </row>
    <row r="27" spans="3:23" x14ac:dyDescent="0.2">
      <c r="C27" s="145"/>
      <c r="D27" s="164" t="s">
        <v>248</v>
      </c>
      <c r="E27" s="137">
        <v>36154</v>
      </c>
      <c r="F27" s="172" t="str">
        <f t="shared" si="1"/>
        <v>1998-99</v>
      </c>
      <c r="H27" s="173" t="s">
        <v>190</v>
      </c>
      <c r="I27" s="174">
        <v>25184.239534746859</v>
      </c>
      <c r="J27" s="168">
        <f>IF(E27&lt;DATE(2016,1,1),IF(OR(M27="metres",M27="pipe"),INDEX('Scheme cost allocation'!$D$21:$D$42,MATCH(IF(MONTH(E27)&lt;7,YEAR(E27),YEAR(E27)+1),'Scheme cost allocation'!$C$21:$C$42,0))*'Scheme cost allocation'!$J$21,'Scheme cost allocation'!$J$21),'Scheme cost allocation'!$J$21)</f>
        <v>0.20166333885014529</v>
      </c>
      <c r="K27" s="47"/>
      <c r="L27" s="169">
        <v>7.9233783829900002</v>
      </c>
      <c r="M27" s="175" t="s">
        <v>191</v>
      </c>
      <c r="N27" s="169">
        <v>3091.2571944145911</v>
      </c>
      <c r="O27" s="143">
        <f t="shared" si="2"/>
        <v>24493.200430486886</v>
      </c>
      <c r="P27" s="144">
        <f t="shared" si="0"/>
        <v>4939.3805779378017</v>
      </c>
    </row>
    <row r="28" spans="3:23" x14ac:dyDescent="0.2">
      <c r="C28" s="145"/>
      <c r="D28" s="164" t="s">
        <v>250</v>
      </c>
      <c r="E28" s="137">
        <v>36154</v>
      </c>
      <c r="F28" s="172" t="str">
        <f t="shared" si="1"/>
        <v>1998-99</v>
      </c>
      <c r="H28" s="173" t="s">
        <v>190</v>
      </c>
      <c r="I28" s="174">
        <v>25184.239534746859</v>
      </c>
      <c r="J28" s="168">
        <f>IF(E28&lt;DATE(2016,1,1),IF(OR(M28="metres",M28="pipe"),INDEX('Scheme cost allocation'!$D$21:$D$42,MATCH(IF(MONTH(E28)&lt;7,YEAR(E28),YEAR(E28)+1),'Scheme cost allocation'!$C$21:$C$42,0))*'Scheme cost allocation'!$J$21,'Scheme cost allocation'!$J$21),'Scheme cost allocation'!$J$21)</f>
        <v>0.20166333885014529</v>
      </c>
      <c r="K28" s="47"/>
      <c r="L28" s="169">
        <v>20.644651123199999</v>
      </c>
      <c r="M28" s="175" t="s">
        <v>191</v>
      </c>
      <c r="N28" s="169">
        <v>8355.3686377769263</v>
      </c>
      <c r="O28" s="143">
        <f t="shared" si="2"/>
        <v>172493.67053263145</v>
      </c>
      <c r="P28" s="144">
        <f t="shared" si="0"/>
        <v>34785.649530127375</v>
      </c>
    </row>
    <row r="29" spans="3:23" x14ac:dyDescent="0.2">
      <c r="C29" s="145"/>
      <c r="D29" s="164" t="s">
        <v>250</v>
      </c>
      <c r="E29" s="137">
        <v>36154</v>
      </c>
      <c r="F29" s="172" t="str">
        <f t="shared" si="1"/>
        <v>1998-99</v>
      </c>
      <c r="H29" s="173" t="s">
        <v>190</v>
      </c>
      <c r="I29" s="174">
        <v>25184.239534746859</v>
      </c>
      <c r="J29" s="168">
        <f>IF(E29&lt;DATE(2016,1,1),IF(OR(M29="metres",M29="pipe"),INDEX('Scheme cost allocation'!$D$21:$D$42,MATCH(IF(MONTH(E29)&lt;7,YEAR(E29),YEAR(E29)+1),'Scheme cost allocation'!$C$21:$C$42,0))*'Scheme cost allocation'!$J$21,'Scheme cost allocation'!$J$21),'Scheme cost allocation'!$J$21)</f>
        <v>0.20166333885014529</v>
      </c>
      <c r="K29" s="47"/>
      <c r="L29" s="169">
        <v>17.628681431099999</v>
      </c>
      <c r="M29" s="175" t="s">
        <v>191</v>
      </c>
      <c r="N29" s="169">
        <v>8355.3686377769282</v>
      </c>
      <c r="O29" s="143">
        <f t="shared" si="2"/>
        <v>147294.13195477342</v>
      </c>
      <c r="P29" s="144">
        <f t="shared" si="0"/>
        <v>29703.826443033486</v>
      </c>
    </row>
    <row r="30" spans="3:23" x14ac:dyDescent="0.2">
      <c r="C30" s="145"/>
      <c r="D30" s="164" t="s">
        <v>250</v>
      </c>
      <c r="E30" s="137">
        <v>36154</v>
      </c>
      <c r="F30" s="172" t="str">
        <f t="shared" si="1"/>
        <v>1998-99</v>
      </c>
      <c r="H30" s="173" t="s">
        <v>190</v>
      </c>
      <c r="I30" s="174">
        <v>25184.239534746859</v>
      </c>
      <c r="J30" s="168">
        <f>IF(E30&lt;DATE(2016,1,1),IF(OR(M30="metres",M30="pipe"),INDEX('Scheme cost allocation'!$D$21:$D$42,MATCH(IF(MONTH(E30)&lt;7,YEAR(E30),YEAR(E30)+1),'Scheme cost allocation'!$C$21:$C$42,0))*'Scheme cost allocation'!$J$21,'Scheme cost allocation'!$J$21),'Scheme cost allocation'!$J$21)</f>
        <v>0.20166333885014529</v>
      </c>
      <c r="K30" s="47"/>
      <c r="L30" s="169">
        <v>17.642951793799998</v>
      </c>
      <c r="M30" s="175" t="s">
        <v>191</v>
      </c>
      <c r="N30" s="169">
        <v>8355.3686377769263</v>
      </c>
      <c r="O30" s="143">
        <f t="shared" si="2"/>
        <v>147413.36609572667</v>
      </c>
      <c r="P30" s="144">
        <f t="shared" si="0"/>
        <v>29727.871598003047</v>
      </c>
    </row>
    <row r="31" spans="3:23" x14ac:dyDescent="0.2">
      <c r="C31" s="145"/>
      <c r="D31" s="164" t="s">
        <v>251</v>
      </c>
      <c r="E31" s="137">
        <v>36154</v>
      </c>
      <c r="F31" s="172" t="str">
        <f t="shared" si="1"/>
        <v>1998-99</v>
      </c>
      <c r="H31" s="173" t="s">
        <v>190</v>
      </c>
      <c r="I31" s="174">
        <v>25184.239534746859</v>
      </c>
      <c r="J31" s="168">
        <f>IF(E31&lt;DATE(2016,1,1),IF(OR(M31="metres",M31="pipe"),INDEX('Scheme cost allocation'!$D$21:$D$42,MATCH(IF(MONTH(E31)&lt;7,YEAR(E31),YEAR(E31)+1),'Scheme cost allocation'!$C$21:$C$42,0))*'Scheme cost allocation'!$J$21,'Scheme cost allocation'!$J$21),'Scheme cost allocation'!$J$21)</f>
        <v>0.20166333885014529</v>
      </c>
      <c r="K31" s="47"/>
      <c r="L31" s="169">
        <v>2.6579060756000001</v>
      </c>
      <c r="M31" s="175" t="s">
        <v>191</v>
      </c>
      <c r="N31" s="169">
        <v>3687.8868133150872</v>
      </c>
      <c r="O31" s="143">
        <f t="shared" si="2"/>
        <v>9802.0567672352936</v>
      </c>
      <c r="P31" s="144">
        <f t="shared" si="0"/>
        <v>1976.7154952793308</v>
      </c>
    </row>
    <row r="32" spans="3:23" x14ac:dyDescent="0.2">
      <c r="C32" s="145"/>
      <c r="D32" s="164" t="s">
        <v>251</v>
      </c>
      <c r="E32" s="137">
        <v>36154</v>
      </c>
      <c r="F32" s="172" t="str">
        <f t="shared" si="1"/>
        <v>1998-99</v>
      </c>
      <c r="H32" s="173" t="s">
        <v>190</v>
      </c>
      <c r="I32" s="174">
        <v>25184.239534746859</v>
      </c>
      <c r="J32" s="168">
        <f>IF(E32&lt;DATE(2016,1,1),IF(OR(M32="metres",M32="pipe"),INDEX('Scheme cost allocation'!$D$21:$D$42,MATCH(IF(MONTH(E32)&lt;7,YEAR(E32),YEAR(E32)+1),'Scheme cost allocation'!$C$21:$C$42,0))*'Scheme cost allocation'!$J$21,'Scheme cost allocation'!$J$21),'Scheme cost allocation'!$J$21)</f>
        <v>0.20166333885014529</v>
      </c>
      <c r="K32" s="47"/>
      <c r="L32" s="169">
        <v>2.62158714048</v>
      </c>
      <c r="M32" s="175" t="s">
        <v>191</v>
      </c>
      <c r="N32" s="169">
        <v>3687.8868133150863</v>
      </c>
      <c r="O32" s="143">
        <f t="shared" si="2"/>
        <v>9668.1166453325968</v>
      </c>
      <c r="P32" s="144">
        <f t="shared" si="0"/>
        <v>1949.7046830904374</v>
      </c>
    </row>
    <row r="33" spans="3:16" x14ac:dyDescent="0.2">
      <c r="C33" s="145"/>
      <c r="D33" s="164" t="s">
        <v>251</v>
      </c>
      <c r="E33" s="137">
        <v>36154</v>
      </c>
      <c r="F33" s="172" t="str">
        <f t="shared" si="1"/>
        <v>1998-99</v>
      </c>
      <c r="H33" s="173" t="s">
        <v>190</v>
      </c>
      <c r="I33" s="174">
        <v>25184.239534746859</v>
      </c>
      <c r="J33" s="168">
        <f>IF(E33&lt;DATE(2016,1,1),IF(OR(M33="metres",M33="pipe"),INDEX('Scheme cost allocation'!$D$21:$D$42,MATCH(IF(MONTH(E33)&lt;7,YEAR(E33),YEAR(E33)+1),'Scheme cost allocation'!$C$21:$C$42,0))*'Scheme cost allocation'!$J$21,'Scheme cost allocation'!$J$21),'Scheme cost allocation'!$J$21)</f>
        <v>0.20166333885014529</v>
      </c>
      <c r="K33" s="47"/>
      <c r="L33" s="169">
        <v>3.25917320804</v>
      </c>
      <c r="M33" s="175" t="s">
        <v>191</v>
      </c>
      <c r="N33" s="169">
        <v>3687.8868133150868</v>
      </c>
      <c r="O33" s="143">
        <f t="shared" si="2"/>
        <v>12019.461896240544</v>
      </c>
      <c r="P33" s="144">
        <f t="shared" si="0"/>
        <v>2423.8848171779664</v>
      </c>
    </row>
    <row r="34" spans="3:16" x14ac:dyDescent="0.2">
      <c r="C34" s="145"/>
      <c r="D34" s="164" t="s">
        <v>251</v>
      </c>
      <c r="E34" s="137">
        <v>36154</v>
      </c>
      <c r="F34" s="172" t="str">
        <f t="shared" si="1"/>
        <v>1998-99</v>
      </c>
      <c r="H34" s="173" t="s">
        <v>190</v>
      </c>
      <c r="I34" s="174">
        <v>25184.239534746859</v>
      </c>
      <c r="J34" s="168">
        <f>IF(E34&lt;DATE(2016,1,1),IF(OR(M34="metres",M34="pipe"),INDEX('Scheme cost allocation'!$D$21:$D$42,MATCH(IF(MONTH(E34)&lt;7,YEAR(E34),YEAR(E34)+1),'Scheme cost allocation'!$C$21:$C$42,0))*'Scheme cost allocation'!$J$21,'Scheme cost allocation'!$J$21),'Scheme cost allocation'!$J$21)</f>
        <v>0.20166333885014529</v>
      </c>
      <c r="K34" s="47"/>
      <c r="L34" s="169">
        <v>3.3245225221100001</v>
      </c>
      <c r="M34" s="175" t="s">
        <v>191</v>
      </c>
      <c r="N34" s="169">
        <v>3687.8868133150868</v>
      </c>
      <c r="O34" s="143">
        <f t="shared" si="2"/>
        <v>12260.462769858483</v>
      </c>
      <c r="P34" s="144">
        <f t="shared" si="0"/>
        <v>2472.4858580175619</v>
      </c>
    </row>
    <row r="35" spans="3:16" x14ac:dyDescent="0.2">
      <c r="C35" s="145"/>
      <c r="D35" s="164" t="s">
        <v>248</v>
      </c>
      <c r="E35" s="137">
        <v>36154</v>
      </c>
      <c r="F35" s="172" t="str">
        <f t="shared" si="1"/>
        <v>1998-99</v>
      </c>
      <c r="H35" s="173" t="s">
        <v>190</v>
      </c>
      <c r="I35" s="174">
        <v>25184.239534746859</v>
      </c>
      <c r="J35" s="168">
        <f>IF(E35&lt;DATE(2016,1,1),IF(OR(M35="metres",M35="pipe"),INDEX('Scheme cost allocation'!$D$21:$D$42,MATCH(IF(MONTH(E35)&lt;7,YEAR(E35),YEAR(E35)+1),'Scheme cost allocation'!$C$21:$C$42,0))*'Scheme cost allocation'!$J$21,'Scheme cost allocation'!$J$21),'Scheme cost allocation'!$J$21)</f>
        <v>0.20166333885014529</v>
      </c>
      <c r="K35" s="47"/>
      <c r="L35" s="169">
        <v>22.904497603900001</v>
      </c>
      <c r="M35" s="175" t="s">
        <v>191</v>
      </c>
      <c r="N35" s="169">
        <v>3091.2571944145907</v>
      </c>
      <c r="O35" s="143">
        <f t="shared" si="2"/>
        <v>70803.693002507629</v>
      </c>
      <c r="P35" s="144">
        <f t="shared" si="0"/>
        <v>14278.509133806356</v>
      </c>
    </row>
    <row r="36" spans="3:16" x14ac:dyDescent="0.2">
      <c r="C36" s="145"/>
      <c r="D36" s="164" t="s">
        <v>248</v>
      </c>
      <c r="E36" s="137">
        <v>36154</v>
      </c>
      <c r="F36" s="172" t="str">
        <f t="shared" si="1"/>
        <v>1998-99</v>
      </c>
      <c r="H36" s="173" t="s">
        <v>190</v>
      </c>
      <c r="I36" s="174">
        <v>25184.239534746859</v>
      </c>
      <c r="J36" s="168">
        <f>IF(E36&lt;DATE(2016,1,1),IF(OR(M36="metres",M36="pipe"),INDEX('Scheme cost allocation'!$D$21:$D$42,MATCH(IF(MONTH(E36)&lt;7,YEAR(E36),YEAR(E36)+1),'Scheme cost allocation'!$C$21:$C$42,0))*'Scheme cost allocation'!$J$21,'Scheme cost allocation'!$J$21),'Scheme cost allocation'!$J$21)</f>
        <v>0.20166333885014529</v>
      </c>
      <c r="K36" s="47"/>
      <c r="L36" s="169">
        <v>3.4889431064399998</v>
      </c>
      <c r="M36" s="175" t="s">
        <v>191</v>
      </c>
      <c r="N36" s="169">
        <v>3091.2571944145907</v>
      </c>
      <c r="O36" s="143">
        <f t="shared" si="2"/>
        <v>10785.22047868584</v>
      </c>
      <c r="P36" s="144">
        <f t="shared" si="0"/>
        <v>2174.9835719667485</v>
      </c>
    </row>
    <row r="37" spans="3:16" x14ac:dyDescent="0.2">
      <c r="C37" s="145"/>
      <c r="D37" s="164" t="s">
        <v>195</v>
      </c>
      <c r="E37" s="137">
        <v>36161</v>
      </c>
      <c r="F37" s="172" t="str">
        <f t="shared" si="1"/>
        <v>1998-99</v>
      </c>
      <c r="H37" s="173" t="s">
        <v>190</v>
      </c>
      <c r="I37" s="174">
        <v>25184.239534746859</v>
      </c>
      <c r="J37" s="168">
        <f>IF(E37&lt;DATE(2016,1,1),IF(OR(M37="metres",M37="pipe"),INDEX('Scheme cost allocation'!$D$21:$D$42,MATCH(IF(MONTH(E37)&lt;7,YEAR(E37),YEAR(E37)+1),'Scheme cost allocation'!$C$21:$C$42,0))*'Scheme cost allocation'!$J$21,'Scheme cost allocation'!$J$21),'Scheme cost allocation'!$J$21)</f>
        <v>0.20166333885014529</v>
      </c>
      <c r="K37" s="47"/>
      <c r="L37" s="169">
        <v>75.948872973899995</v>
      </c>
      <c r="M37" s="175" t="s">
        <v>191</v>
      </c>
      <c r="N37" s="169">
        <v>4346.9768907523512</v>
      </c>
      <c r="O37" s="143">
        <f t="shared" si="2"/>
        <v>330147.9956962291</v>
      </c>
      <c r="P37" s="144">
        <f t="shared" si="0"/>
        <v>66578.747126784961</v>
      </c>
    </row>
    <row r="38" spans="3:16" ht="22.8" x14ac:dyDescent="0.2">
      <c r="C38" s="145"/>
      <c r="D38" s="164" t="s">
        <v>228</v>
      </c>
      <c r="E38" s="137">
        <v>36161</v>
      </c>
      <c r="F38" s="172" t="str">
        <f t="shared" si="1"/>
        <v>1998-99</v>
      </c>
      <c r="H38" s="173" t="s">
        <v>190</v>
      </c>
      <c r="I38" s="174">
        <v>25184.239534746859</v>
      </c>
      <c r="J38" s="168">
        <f>IF(E38&lt;DATE(2016,1,1),IF(OR(M38="metres",M38="pipe"),INDEX('Scheme cost allocation'!$D$21:$D$42,MATCH(IF(MONTH(E38)&lt;7,YEAR(E38),YEAR(E38)+1),'Scheme cost allocation'!$C$21:$C$42,0))*'Scheme cost allocation'!$J$21,'Scheme cost allocation'!$J$21),'Scheme cost allocation'!$J$21)</f>
        <v>0.20166333885014529</v>
      </c>
      <c r="K38" s="47"/>
      <c r="L38" s="169">
        <v>76.110182598999998</v>
      </c>
      <c r="M38" s="175" t="s">
        <v>191</v>
      </c>
      <c r="N38" s="169">
        <v>10996.071034776955</v>
      </c>
      <c r="O38" s="143">
        <f t="shared" si="2"/>
        <v>836912.97432844888</v>
      </c>
      <c r="P38" s="144">
        <f t="shared" si="0"/>
        <v>168774.66473008093</v>
      </c>
    </row>
    <row r="39" spans="3:16" x14ac:dyDescent="0.2">
      <c r="C39" s="145"/>
      <c r="D39" s="164" t="s">
        <v>252</v>
      </c>
      <c r="E39" s="137">
        <v>36662</v>
      </c>
      <c r="F39" s="172" t="str">
        <f t="shared" si="1"/>
        <v>1999-00</v>
      </c>
      <c r="H39" s="173" t="s">
        <v>190</v>
      </c>
      <c r="I39" s="174">
        <v>25184.239534746859</v>
      </c>
      <c r="J39" s="168">
        <f>IF(E39&lt;DATE(2016,1,1),IF(OR(M39="metres",M39="pipe"),INDEX('Scheme cost allocation'!$D$21:$D$42,MATCH(IF(MONTH(E39)&lt;7,YEAR(E39),YEAR(E39)+1),'Scheme cost allocation'!$C$21:$C$42,0))*'Scheme cost allocation'!$J$21,'Scheme cost allocation'!$J$21),'Scheme cost allocation'!$J$21)</f>
        <v>0.45966896254967282</v>
      </c>
      <c r="K39" s="47"/>
      <c r="L39" s="169">
        <v>38.401717976599997</v>
      </c>
      <c r="M39" s="175" t="s">
        <v>191</v>
      </c>
      <c r="N39" s="169">
        <v>16828.002361204341</v>
      </c>
      <c r="O39" s="143">
        <f t="shared" si="2"/>
        <v>646224.20078452793</v>
      </c>
      <c r="P39" s="144">
        <f t="shared" si="0"/>
        <v>297049.20794911543</v>
      </c>
    </row>
    <row r="40" spans="3:16" x14ac:dyDescent="0.2">
      <c r="C40" s="145"/>
      <c r="D40" s="164" t="s">
        <v>253</v>
      </c>
      <c r="E40" s="137">
        <v>36662</v>
      </c>
      <c r="F40" s="172" t="str">
        <f t="shared" si="1"/>
        <v>1999-00</v>
      </c>
      <c r="H40" s="173" t="s">
        <v>190</v>
      </c>
      <c r="I40" s="174">
        <v>25184.239534746859</v>
      </c>
      <c r="J40" s="168">
        <f>IF(E40&lt;DATE(2016,1,1),IF(OR(M40="metres",M40="pipe"),INDEX('Scheme cost allocation'!$D$21:$D$42,MATCH(IF(MONTH(E40)&lt;7,YEAR(E40),YEAR(E40)+1),'Scheme cost allocation'!$C$21:$C$42,0))*'Scheme cost allocation'!$J$21,'Scheme cost allocation'!$J$21),'Scheme cost allocation'!$J$21)</f>
        <v>0.45966896254967282</v>
      </c>
      <c r="K40" s="47"/>
      <c r="L40" s="169">
        <v>32.843402261999998</v>
      </c>
      <c r="M40" s="175" t="s">
        <v>191</v>
      </c>
      <c r="N40" s="169">
        <v>16828.002361204341</v>
      </c>
      <c r="O40" s="143">
        <f t="shared" si="2"/>
        <v>552688.85081491992</v>
      </c>
      <c r="P40" s="144">
        <f t="shared" si="0"/>
        <v>254053.91066686512</v>
      </c>
    </row>
    <row r="41" spans="3:16" x14ac:dyDescent="0.2">
      <c r="C41" s="145"/>
      <c r="D41" s="164" t="s">
        <v>253</v>
      </c>
      <c r="E41" s="137">
        <v>36662</v>
      </c>
      <c r="F41" s="172" t="str">
        <f t="shared" si="1"/>
        <v>1999-00</v>
      </c>
      <c r="H41" s="173" t="s">
        <v>190</v>
      </c>
      <c r="I41" s="174">
        <v>25184.239534746859</v>
      </c>
      <c r="J41" s="168">
        <f>IF(E41&lt;DATE(2016,1,1),IF(OR(M41="metres",M41="pipe"),INDEX('Scheme cost allocation'!$D$21:$D$42,MATCH(IF(MONTH(E41)&lt;7,YEAR(E41),YEAR(E41)+1),'Scheme cost allocation'!$C$21:$C$42,0))*'Scheme cost allocation'!$J$21,'Scheme cost allocation'!$J$21),'Scheme cost allocation'!$J$21)</f>
        <v>0.45966896254967282</v>
      </c>
      <c r="K41" s="47"/>
      <c r="L41" s="169">
        <v>32.369415308100002</v>
      </c>
      <c r="M41" s="175" t="s">
        <v>191</v>
      </c>
      <c r="N41" s="169">
        <v>16828.002361204337</v>
      </c>
      <c r="O41" s="143">
        <f t="shared" si="2"/>
        <v>544712.59723551071</v>
      </c>
      <c r="P41" s="144">
        <f t="shared" si="0"/>
        <v>250387.47445898497</v>
      </c>
    </row>
    <row r="42" spans="3:16" x14ac:dyDescent="0.2">
      <c r="C42" s="145"/>
      <c r="D42" s="164" t="s">
        <v>252</v>
      </c>
      <c r="E42" s="137">
        <v>36662</v>
      </c>
      <c r="F42" s="172" t="str">
        <f t="shared" si="1"/>
        <v>1999-00</v>
      </c>
      <c r="H42" s="173" t="s">
        <v>190</v>
      </c>
      <c r="I42" s="174">
        <v>25184.239534746859</v>
      </c>
      <c r="J42" s="168">
        <f>IF(E42&lt;DATE(2016,1,1),IF(OR(M42="metres",M42="pipe"),INDEX('Scheme cost allocation'!$D$21:$D$42,MATCH(IF(MONTH(E42)&lt;7,YEAR(E42),YEAR(E42)+1),'Scheme cost allocation'!$C$21:$C$42,0))*'Scheme cost allocation'!$J$21,'Scheme cost allocation'!$J$21),'Scheme cost allocation'!$J$21)</f>
        <v>0.45966896254967282</v>
      </c>
      <c r="K42" s="47"/>
      <c r="L42" s="169">
        <v>37.437831782700002</v>
      </c>
      <c r="M42" s="175" t="s">
        <v>191</v>
      </c>
      <c r="N42" s="169">
        <v>16828.002361204341</v>
      </c>
      <c r="O42" s="143">
        <f t="shared" si="2"/>
        <v>630003.9216376465</v>
      </c>
      <c r="P42" s="144">
        <f t="shared" si="0"/>
        <v>289593.24906140234</v>
      </c>
    </row>
    <row r="43" spans="3:16" x14ac:dyDescent="0.2">
      <c r="C43" s="145"/>
      <c r="D43" s="164" t="s">
        <v>252</v>
      </c>
      <c r="E43" s="137">
        <v>36662</v>
      </c>
      <c r="F43" s="172" t="str">
        <f t="shared" si="1"/>
        <v>1999-00</v>
      </c>
      <c r="H43" s="173" t="s">
        <v>190</v>
      </c>
      <c r="I43" s="174">
        <v>25184.239534746859</v>
      </c>
      <c r="J43" s="168">
        <f>IF(E43&lt;DATE(2016,1,1),IF(OR(M43="metres",M43="pipe"),INDEX('Scheme cost allocation'!$D$21:$D$42,MATCH(IF(MONTH(E43)&lt;7,YEAR(E43),YEAR(E43)+1),'Scheme cost allocation'!$C$21:$C$42,0))*'Scheme cost allocation'!$J$21,'Scheme cost allocation'!$J$21),'Scheme cost allocation'!$J$21)</f>
        <v>0.45966896254967282</v>
      </c>
      <c r="K43" s="47"/>
      <c r="L43" s="169">
        <v>30.226887535900001</v>
      </c>
      <c r="M43" s="175" t="s">
        <v>191</v>
      </c>
      <c r="N43" s="169">
        <v>16828.002361204341</v>
      </c>
      <c r="O43" s="143">
        <f t="shared" si="2"/>
        <v>508658.13482598326</v>
      </c>
      <c r="P43" s="144">
        <f t="shared" si="0"/>
        <v>233814.35712791132</v>
      </c>
    </row>
    <row r="44" spans="3:16" x14ac:dyDescent="0.2">
      <c r="C44" s="145"/>
      <c r="D44" s="164" t="s">
        <v>254</v>
      </c>
      <c r="E44" s="137">
        <v>36817</v>
      </c>
      <c r="F44" s="172" t="str">
        <f t="shared" si="1"/>
        <v>2000-01</v>
      </c>
      <c r="H44" s="173" t="s">
        <v>190</v>
      </c>
      <c r="I44" s="174">
        <v>25184.239534746859</v>
      </c>
      <c r="J44" s="168">
        <f>IF(E44&lt;DATE(2016,1,1),IF(OR(M44="metres",M44="pipe"),INDEX('Scheme cost allocation'!$D$21:$D$42,MATCH(IF(MONTH(E44)&lt;7,YEAR(E44),YEAR(E44)+1),'Scheme cost allocation'!$C$21:$C$42,0))*'Scheme cost allocation'!$J$21,'Scheme cost allocation'!$J$21),'Scheme cost allocation'!$J$21)</f>
        <v>0.90850599752846017</v>
      </c>
      <c r="K44" s="47"/>
      <c r="L44" s="169">
        <v>12.955729080199999</v>
      </c>
      <c r="M44" s="175" t="s">
        <v>191</v>
      </c>
      <c r="N44" s="169">
        <v>5553.7670880991827</v>
      </c>
      <c r="O44" s="143">
        <f t="shared" si="2"/>
        <v>71953.101767944259</v>
      </c>
      <c r="P44" s="144">
        <f t="shared" si="0"/>
        <v>65369.824496953013</v>
      </c>
    </row>
    <row r="45" spans="3:16" x14ac:dyDescent="0.2">
      <c r="C45" s="145"/>
      <c r="D45" s="164" t="s">
        <v>255</v>
      </c>
      <c r="E45" s="137">
        <v>36817</v>
      </c>
      <c r="F45" s="172" t="str">
        <f t="shared" si="1"/>
        <v>2000-01</v>
      </c>
      <c r="H45" s="173" t="s">
        <v>190</v>
      </c>
      <c r="I45" s="174">
        <v>25184.239534746859</v>
      </c>
      <c r="J45" s="168">
        <f>IF(E45&lt;DATE(2016,1,1),IF(OR(M45="metres",M45="pipe"),INDEX('Scheme cost allocation'!$D$21:$D$42,MATCH(IF(MONTH(E45)&lt;7,YEAR(E45),YEAR(E45)+1),'Scheme cost allocation'!$C$21:$C$42,0))*'Scheme cost allocation'!$J$21,'Scheme cost allocation'!$J$21),'Scheme cost allocation'!$J$21)</f>
        <v>0.90850599752846017</v>
      </c>
      <c r="K45" s="47"/>
      <c r="L45" s="169">
        <v>18.688834340300001</v>
      </c>
      <c r="M45" s="175" t="s">
        <v>191</v>
      </c>
      <c r="N45" s="169">
        <v>2991.6276710056786</v>
      </c>
      <c r="O45" s="143">
        <f t="shared" si="2"/>
        <v>55910.033951282639</v>
      </c>
      <c r="P45" s="144">
        <f t="shared" si="0"/>
        <v>50794.601166760112</v>
      </c>
    </row>
    <row r="46" spans="3:16" x14ac:dyDescent="0.2">
      <c r="C46" s="145"/>
      <c r="D46" s="164" t="s">
        <v>255</v>
      </c>
      <c r="E46" s="137">
        <v>36892</v>
      </c>
      <c r="F46" s="172" t="str">
        <f t="shared" si="1"/>
        <v>2000-01</v>
      </c>
      <c r="H46" s="173" t="s">
        <v>190</v>
      </c>
      <c r="I46" s="174">
        <v>25184.239534746859</v>
      </c>
      <c r="J46" s="168">
        <f>IF(E46&lt;DATE(2016,1,1),IF(OR(M46="metres",M46="pipe"),INDEX('Scheme cost allocation'!$D$21:$D$42,MATCH(IF(MONTH(E46)&lt;7,YEAR(E46),YEAR(E46)+1),'Scheme cost allocation'!$C$21:$C$42,0))*'Scheme cost allocation'!$J$21,'Scheme cost allocation'!$J$21),'Scheme cost allocation'!$J$21)</f>
        <v>0.90850599752846017</v>
      </c>
      <c r="K46" s="47"/>
      <c r="L46" s="169">
        <v>24.681794849599999</v>
      </c>
      <c r="M46" s="175" t="s">
        <v>191</v>
      </c>
      <c r="N46" s="169">
        <v>2991.6276710056782</v>
      </c>
      <c r="O46" s="143">
        <f t="shared" si="2"/>
        <v>73838.740442148788</v>
      </c>
      <c r="P46" s="144">
        <f t="shared" si="0"/>
        <v>67082.938541639436</v>
      </c>
    </row>
    <row r="47" spans="3:16" x14ac:dyDescent="0.2">
      <c r="C47" s="145"/>
      <c r="D47" s="164" t="s">
        <v>256</v>
      </c>
      <c r="E47" s="137">
        <v>36892</v>
      </c>
      <c r="F47" s="172" t="str">
        <f t="shared" si="1"/>
        <v>2000-01</v>
      </c>
      <c r="H47" s="173" t="s">
        <v>190</v>
      </c>
      <c r="I47" s="174">
        <v>25184.239534746859</v>
      </c>
      <c r="J47" s="168">
        <f>IF(E47&lt;DATE(2016,1,1),IF(OR(M47="metres",M47="pipe"),INDEX('Scheme cost allocation'!$D$21:$D$42,MATCH(IF(MONTH(E47)&lt;7,YEAR(E47),YEAR(E47)+1),'Scheme cost allocation'!$C$21:$C$42,0))*'Scheme cost allocation'!$J$21,'Scheme cost allocation'!$J$21),'Scheme cost allocation'!$J$21)</f>
        <v>0.90850599752846017</v>
      </c>
      <c r="K47" s="47"/>
      <c r="L47" s="169">
        <v>7.9119242286600002</v>
      </c>
      <c r="M47" s="175" t="s">
        <v>191</v>
      </c>
      <c r="N47" s="169">
        <v>3311.0720454785619</v>
      </c>
      <c r="O47" s="143">
        <f t="shared" si="2"/>
        <v>26196.95113946066</v>
      </c>
      <c r="P47" s="144">
        <f t="shared" si="0"/>
        <v>23800.087227160038</v>
      </c>
    </row>
    <row r="48" spans="3:16" x14ac:dyDescent="0.2">
      <c r="C48" s="145"/>
      <c r="D48" s="164" t="s">
        <v>255</v>
      </c>
      <c r="E48" s="137">
        <v>36892</v>
      </c>
      <c r="F48" s="172" t="str">
        <f t="shared" si="1"/>
        <v>2000-01</v>
      </c>
      <c r="H48" s="173" t="s">
        <v>190</v>
      </c>
      <c r="I48" s="174">
        <v>25184.239534746859</v>
      </c>
      <c r="J48" s="168">
        <f>IF(E48&lt;DATE(2016,1,1),IF(OR(M48="metres",M48="pipe"),INDEX('Scheme cost allocation'!$D$21:$D$42,MATCH(IF(MONTH(E48)&lt;7,YEAR(E48),YEAR(E48)+1),'Scheme cost allocation'!$C$21:$C$42,0))*'Scheme cost allocation'!$J$21,'Scheme cost allocation'!$J$21),'Scheme cost allocation'!$J$21)</f>
        <v>0.90850599752846017</v>
      </c>
      <c r="K48" s="47"/>
      <c r="L48" s="169">
        <v>18.609607868000001</v>
      </c>
      <c r="M48" s="175" t="s">
        <v>191</v>
      </c>
      <c r="N48" s="169">
        <v>2991.6276710056786</v>
      </c>
      <c r="O48" s="143">
        <f t="shared" si="2"/>
        <v>55673.017844473798</v>
      </c>
      <c r="P48" s="144">
        <f t="shared" si="0"/>
        <v>50579.270612213433</v>
      </c>
    </row>
    <row r="49" spans="3:16" x14ac:dyDescent="0.2">
      <c r="C49" s="145"/>
      <c r="D49" s="164" t="s">
        <v>255</v>
      </c>
      <c r="E49" s="137">
        <v>36892</v>
      </c>
      <c r="F49" s="172" t="str">
        <f t="shared" si="1"/>
        <v>2000-01</v>
      </c>
      <c r="H49" s="173" t="s">
        <v>190</v>
      </c>
      <c r="I49" s="174">
        <v>25184.239534746859</v>
      </c>
      <c r="J49" s="168">
        <f>IF(E49&lt;DATE(2016,1,1),IF(OR(M49="metres",M49="pipe"),INDEX('Scheme cost allocation'!$D$21:$D$42,MATCH(IF(MONTH(E49)&lt;7,YEAR(E49),YEAR(E49)+1),'Scheme cost allocation'!$C$21:$C$42,0))*'Scheme cost allocation'!$J$21,'Scheme cost allocation'!$J$21),'Scheme cost allocation'!$J$21)</f>
        <v>0.90850599752846017</v>
      </c>
      <c r="K49" s="47"/>
      <c r="L49" s="169">
        <v>42.121849365899998</v>
      </c>
      <c r="M49" s="175" t="s">
        <v>191</v>
      </c>
      <c r="N49" s="169">
        <v>2991.6276710056786</v>
      </c>
      <c r="O49" s="143">
        <f t="shared" si="2"/>
        <v>126012.89011695943</v>
      </c>
      <c r="P49" s="144">
        <f t="shared" si="0"/>
        <v>114483.46643715247</v>
      </c>
    </row>
    <row r="50" spans="3:16" x14ac:dyDescent="0.2">
      <c r="C50" s="145"/>
      <c r="D50" s="164" t="s">
        <v>193</v>
      </c>
      <c r="E50" s="137">
        <v>37110</v>
      </c>
      <c r="F50" s="172" t="str">
        <f t="shared" si="1"/>
        <v>2001-02</v>
      </c>
      <c r="H50" s="173" t="s">
        <v>190</v>
      </c>
      <c r="I50" s="174">
        <v>25184.239534746859</v>
      </c>
      <c r="J50" s="168">
        <f>IF(E50&lt;DATE(2016,1,1),IF(OR(M50="metres",M50="pipe"),INDEX('Scheme cost allocation'!$D$21:$D$42,MATCH(IF(MONTH(E50)&lt;7,YEAR(E50),YEAR(E50)+1),'Scheme cost allocation'!$C$21:$C$42,0))*'Scheme cost allocation'!$J$21,'Scheme cost allocation'!$J$21),'Scheme cost allocation'!$J$21)</f>
        <v>0.90850599752846017</v>
      </c>
      <c r="K50" s="47"/>
      <c r="L50" s="169">
        <v>3.9095741685999998</v>
      </c>
      <c r="M50" s="175" t="s">
        <v>191</v>
      </c>
      <c r="N50" s="169">
        <v>14279.1564372052</v>
      </c>
      <c r="O50" s="143">
        <f t="shared" si="2"/>
        <v>55825.421156295852</v>
      </c>
      <c r="P50" s="144">
        <f t="shared" si="0"/>
        <v>50717.729935046969</v>
      </c>
    </row>
    <row r="51" spans="3:16" x14ac:dyDescent="0.2">
      <c r="C51" s="145"/>
      <c r="D51" s="164" t="s">
        <v>193</v>
      </c>
      <c r="E51" s="137">
        <v>37110</v>
      </c>
      <c r="F51" s="172" t="str">
        <f t="shared" si="1"/>
        <v>2001-02</v>
      </c>
      <c r="H51" s="173" t="s">
        <v>190</v>
      </c>
      <c r="I51" s="174">
        <v>25184.239534746859</v>
      </c>
      <c r="J51" s="168">
        <f>IF(E51&lt;DATE(2016,1,1),IF(OR(M51="metres",M51="pipe"),INDEX('Scheme cost allocation'!$D$21:$D$42,MATCH(IF(MONTH(E51)&lt;7,YEAR(E51),YEAR(E51)+1),'Scheme cost allocation'!$C$21:$C$42,0))*'Scheme cost allocation'!$J$21,'Scheme cost allocation'!$J$21),'Scheme cost allocation'!$J$21)</f>
        <v>0.90850599752846017</v>
      </c>
      <c r="K51" s="47"/>
      <c r="L51" s="169">
        <v>40.938509446899999</v>
      </c>
      <c r="M51" s="175" t="s">
        <v>191</v>
      </c>
      <c r="N51" s="169">
        <v>14279.1564372052</v>
      </c>
      <c r="O51" s="143">
        <f t="shared" si="2"/>
        <v>584567.38069828798</v>
      </c>
      <c r="P51" s="144">
        <f t="shared" si="0"/>
        <v>531082.97132389725</v>
      </c>
    </row>
    <row r="52" spans="3:16" x14ac:dyDescent="0.2">
      <c r="C52" s="145"/>
      <c r="D52" s="164" t="s">
        <v>257</v>
      </c>
      <c r="E52" s="137">
        <v>37110</v>
      </c>
      <c r="F52" s="172" t="str">
        <f t="shared" si="1"/>
        <v>2001-02</v>
      </c>
      <c r="H52" s="173" t="s">
        <v>190</v>
      </c>
      <c r="I52" s="174">
        <v>25184.239534746859</v>
      </c>
      <c r="J52" s="168">
        <f>IF(E52&lt;DATE(2016,1,1),IF(OR(M52="metres",M52="pipe"),INDEX('Scheme cost allocation'!$D$21:$D$42,MATCH(IF(MONTH(E52)&lt;7,YEAR(E52),YEAR(E52)+1),'Scheme cost allocation'!$C$21:$C$42,0))*'Scheme cost allocation'!$J$21,'Scheme cost allocation'!$J$21),'Scheme cost allocation'!$J$21)</f>
        <v>0.90850599752846017</v>
      </c>
      <c r="K52" s="47"/>
      <c r="L52" s="169">
        <v>24.861884933300001</v>
      </c>
      <c r="M52" s="175" t="s">
        <v>191</v>
      </c>
      <c r="N52" s="169">
        <v>10631.284092854843</v>
      </c>
      <c r="O52" s="143">
        <f t="shared" si="2"/>
        <v>264313.7618097798</v>
      </c>
      <c r="P52" s="144">
        <f t="shared" si="0"/>
        <v>240130.63783349382</v>
      </c>
    </row>
    <row r="53" spans="3:16" x14ac:dyDescent="0.2">
      <c r="C53" s="145"/>
      <c r="D53" s="164" t="s">
        <v>258</v>
      </c>
      <c r="E53" s="137">
        <v>37110</v>
      </c>
      <c r="F53" s="172" t="str">
        <f t="shared" si="1"/>
        <v>2001-02</v>
      </c>
      <c r="H53" s="173" t="s">
        <v>190</v>
      </c>
      <c r="I53" s="174">
        <v>25184.239534746859</v>
      </c>
      <c r="J53" s="168">
        <f>IF(E53&lt;DATE(2016,1,1),IF(OR(M53="metres",M53="pipe"),INDEX('Scheme cost allocation'!$D$21:$D$42,MATCH(IF(MONTH(E53)&lt;7,YEAR(E53),YEAR(E53)+1),'Scheme cost allocation'!$C$21:$C$42,0))*'Scheme cost allocation'!$J$21,'Scheme cost allocation'!$J$21),'Scheme cost allocation'!$J$21)</f>
        <v>0.90850599752846017</v>
      </c>
      <c r="K53" s="47"/>
      <c r="L53" s="169">
        <v>26.221642408000001</v>
      </c>
      <c r="M53" s="175" t="s">
        <v>191</v>
      </c>
      <c r="N53" s="169">
        <v>10631.284092854843</v>
      </c>
      <c r="O53" s="143">
        <f t="shared" si="2"/>
        <v>278769.72982069838</v>
      </c>
      <c r="P53" s="144">
        <f t="shared" si="0"/>
        <v>253263.97147149293</v>
      </c>
    </row>
    <row r="54" spans="3:16" x14ac:dyDescent="0.2">
      <c r="C54" s="145"/>
      <c r="D54" s="164" t="s">
        <v>258</v>
      </c>
      <c r="E54" s="137">
        <v>37110</v>
      </c>
      <c r="F54" s="172" t="str">
        <f t="shared" si="1"/>
        <v>2001-02</v>
      </c>
      <c r="H54" s="173" t="s">
        <v>190</v>
      </c>
      <c r="I54" s="174">
        <v>25184.239534746859</v>
      </c>
      <c r="J54" s="168">
        <f>IF(E54&lt;DATE(2016,1,1),IF(OR(M54="metres",M54="pipe"),INDEX('Scheme cost allocation'!$D$21:$D$42,MATCH(IF(MONTH(E54)&lt;7,YEAR(E54),YEAR(E54)+1),'Scheme cost allocation'!$C$21:$C$42,0))*'Scheme cost allocation'!$J$21,'Scheme cost allocation'!$J$21),'Scheme cost allocation'!$J$21)</f>
        <v>0.90850599752846017</v>
      </c>
      <c r="K54" s="47"/>
      <c r="L54" s="169">
        <v>27.080003698100001</v>
      </c>
      <c r="M54" s="175" t="s">
        <v>191</v>
      </c>
      <c r="N54" s="169">
        <v>10631.290719344006</v>
      </c>
      <c r="O54" s="143">
        <f t="shared" si="2"/>
        <v>287895.39199541189</v>
      </c>
      <c r="P54" s="144">
        <f t="shared" si="0"/>
        <v>261554.69028863875</v>
      </c>
    </row>
    <row r="55" spans="3:16" x14ac:dyDescent="0.2">
      <c r="C55" s="145"/>
      <c r="D55" s="164" t="s">
        <v>259</v>
      </c>
      <c r="E55" s="137">
        <v>37110</v>
      </c>
      <c r="F55" s="172" t="str">
        <f t="shared" si="1"/>
        <v>2001-02</v>
      </c>
      <c r="H55" s="173" t="s">
        <v>190</v>
      </c>
      <c r="I55" s="174">
        <v>25184.239534746859</v>
      </c>
      <c r="J55" s="168">
        <f>IF(E55&lt;DATE(2016,1,1),IF(OR(M55="metres",M55="pipe"),INDEX('Scheme cost allocation'!$D$21:$D$42,MATCH(IF(MONTH(E55)&lt;7,YEAR(E55),YEAR(E55)+1),'Scheme cost allocation'!$C$21:$C$42,0))*'Scheme cost allocation'!$J$21,'Scheme cost allocation'!$J$21),'Scheme cost allocation'!$J$21)</f>
        <v>0.90850599752846017</v>
      </c>
      <c r="K55" s="47"/>
      <c r="L55" s="169">
        <v>31.432447591500001</v>
      </c>
      <c r="M55" s="175" t="s">
        <v>191</v>
      </c>
      <c r="N55" s="169">
        <v>14279.1564372052</v>
      </c>
      <c r="O55" s="143">
        <f t="shared" si="2"/>
        <v>448828.83636328229</v>
      </c>
      <c r="P55" s="144">
        <f t="shared" si="0"/>
        <v>407763.6896997618</v>
      </c>
    </row>
    <row r="56" spans="3:16" x14ac:dyDescent="0.2">
      <c r="C56" s="145"/>
      <c r="D56" s="164" t="s">
        <v>259</v>
      </c>
      <c r="E56" s="137">
        <v>37110</v>
      </c>
      <c r="F56" s="172" t="str">
        <f t="shared" si="1"/>
        <v>2001-02</v>
      </c>
      <c r="H56" s="173" t="s">
        <v>190</v>
      </c>
      <c r="I56" s="174">
        <v>25184.239534746859</v>
      </c>
      <c r="J56" s="168">
        <f>IF(E56&lt;DATE(2016,1,1),IF(OR(M56="metres",M56="pipe"),INDEX('Scheme cost allocation'!$D$21:$D$42,MATCH(IF(MONTH(E56)&lt;7,YEAR(E56),YEAR(E56)+1),'Scheme cost allocation'!$C$21:$C$42,0))*'Scheme cost allocation'!$J$21,'Scheme cost allocation'!$J$21),'Scheme cost allocation'!$J$21)</f>
        <v>0.90850599752846017</v>
      </c>
      <c r="K56" s="47"/>
      <c r="L56" s="169">
        <v>30.418571901899998</v>
      </c>
      <c r="M56" s="175" t="s">
        <v>191</v>
      </c>
      <c r="N56" s="169">
        <v>14279.1564372052</v>
      </c>
      <c r="O56" s="143">
        <f t="shared" si="2"/>
        <v>434351.5467836046</v>
      </c>
      <c r="P56" s="144">
        <f t="shared" si="0"/>
        <v>394610.98528866831</v>
      </c>
    </row>
    <row r="57" spans="3:16" x14ac:dyDescent="0.2">
      <c r="C57" s="145"/>
      <c r="D57" s="164" t="s">
        <v>198</v>
      </c>
      <c r="E57" s="137">
        <v>37110</v>
      </c>
      <c r="F57" s="172" t="str">
        <f t="shared" si="1"/>
        <v>2001-02</v>
      </c>
      <c r="H57" s="173" t="s">
        <v>190</v>
      </c>
      <c r="I57" s="174">
        <v>25184.239534746859</v>
      </c>
      <c r="J57" s="168">
        <f>IF(E57&lt;DATE(2016,1,1),IF(OR(M57="metres",M57="pipe"),INDEX('Scheme cost allocation'!$D$21:$D$42,MATCH(IF(MONTH(E57)&lt;7,YEAR(E57),YEAR(E57)+1),'Scheme cost allocation'!$C$21:$C$42,0))*'Scheme cost allocation'!$J$21,'Scheme cost allocation'!$J$21),'Scheme cost allocation'!$J$21)</f>
        <v>0.90850599752846017</v>
      </c>
      <c r="K57" s="47"/>
      <c r="L57" s="169">
        <v>30.5514947771</v>
      </c>
      <c r="M57" s="175" t="s">
        <v>191</v>
      </c>
      <c r="N57" s="169">
        <v>14279.1564372052</v>
      </c>
      <c r="O57" s="143">
        <f t="shared" si="2"/>
        <v>436249.57331266854</v>
      </c>
      <c r="P57" s="144">
        <f t="shared" si="0"/>
        <v>396335.35377379105</v>
      </c>
    </row>
    <row r="58" spans="3:16" x14ac:dyDescent="0.2">
      <c r="C58" s="145"/>
      <c r="D58" s="164" t="s">
        <v>198</v>
      </c>
      <c r="E58" s="137">
        <v>37110</v>
      </c>
      <c r="F58" s="172" t="str">
        <f t="shared" si="1"/>
        <v>2001-02</v>
      </c>
      <c r="H58" s="173" t="s">
        <v>190</v>
      </c>
      <c r="I58" s="174">
        <v>25184.239534746859</v>
      </c>
      <c r="J58" s="168">
        <f>IF(E58&lt;DATE(2016,1,1),IF(OR(M58="metres",M58="pipe"),INDEX('Scheme cost allocation'!$D$21:$D$42,MATCH(IF(MONTH(E58)&lt;7,YEAR(E58),YEAR(E58)+1),'Scheme cost allocation'!$C$21:$C$42,0))*'Scheme cost allocation'!$J$21,'Scheme cost allocation'!$J$21),'Scheme cost allocation'!$J$21)</f>
        <v>0.90850599752846017</v>
      </c>
      <c r="K58" s="47"/>
      <c r="L58" s="169">
        <v>30.4899111758</v>
      </c>
      <c r="M58" s="175" t="s">
        <v>191</v>
      </c>
      <c r="N58" s="169">
        <v>14279.156437205198</v>
      </c>
      <c r="O58" s="143">
        <f t="shared" si="2"/>
        <v>435370.2114357393</v>
      </c>
      <c r="P58" s="144">
        <f t="shared" si="0"/>
        <v>395536.44823460293</v>
      </c>
    </row>
    <row r="59" spans="3:16" x14ac:dyDescent="0.2">
      <c r="C59" s="145"/>
      <c r="D59" s="164" t="s">
        <v>260</v>
      </c>
      <c r="E59" s="137">
        <v>37110</v>
      </c>
      <c r="F59" s="172" t="str">
        <f t="shared" si="1"/>
        <v>2001-02</v>
      </c>
      <c r="H59" s="173" t="s">
        <v>190</v>
      </c>
      <c r="I59" s="174">
        <v>25184.239534746859</v>
      </c>
      <c r="J59" s="168">
        <f>IF(E59&lt;DATE(2016,1,1),IF(OR(M59="metres",M59="pipe"),INDEX('Scheme cost allocation'!$D$21:$D$42,MATCH(IF(MONTH(E59)&lt;7,YEAR(E59),YEAR(E59)+1),'Scheme cost allocation'!$C$21:$C$42,0))*'Scheme cost allocation'!$J$21,'Scheme cost allocation'!$J$21),'Scheme cost allocation'!$J$21)</f>
        <v>0.90850599752846017</v>
      </c>
      <c r="K59" s="47"/>
      <c r="L59" s="169">
        <v>86.028644679400003</v>
      </c>
      <c r="M59" s="175" t="s">
        <v>191</v>
      </c>
      <c r="N59" s="169">
        <v>10533.60661926049</v>
      </c>
      <c r="O59" s="143">
        <f t="shared" si="2"/>
        <v>906191.90104093659</v>
      </c>
      <c r="P59" s="144">
        <f t="shared" si="0"/>
        <v>823280.77700740774</v>
      </c>
    </row>
    <row r="60" spans="3:16" x14ac:dyDescent="0.2">
      <c r="C60" s="145"/>
      <c r="D60" s="164" t="s">
        <v>261</v>
      </c>
      <c r="E60" s="137">
        <v>37110</v>
      </c>
      <c r="F60" s="172" t="str">
        <f t="shared" si="1"/>
        <v>2001-02</v>
      </c>
      <c r="H60" s="173" t="s">
        <v>190</v>
      </c>
      <c r="I60" s="174">
        <v>25184.239534746859</v>
      </c>
      <c r="J60" s="168">
        <f>IF(E60&lt;DATE(2016,1,1),IF(OR(M60="metres",M60="pipe"),INDEX('Scheme cost allocation'!$D$21:$D$42,MATCH(IF(MONTH(E60)&lt;7,YEAR(E60),YEAR(E60)+1),'Scheme cost allocation'!$C$21:$C$42,0))*'Scheme cost allocation'!$J$21,'Scheme cost allocation'!$J$21),'Scheme cost allocation'!$J$21)</f>
        <v>0.90850599752846017</v>
      </c>
      <c r="K60" s="47"/>
      <c r="L60" s="169">
        <v>8.8342662400500007</v>
      </c>
      <c r="M60" s="175" t="s">
        <v>191</v>
      </c>
      <c r="N60" s="169">
        <v>11195.868258657711</v>
      </c>
      <c r="O60" s="143">
        <f t="shared" si="2"/>
        <v>98907.280985507197</v>
      </c>
      <c r="P60" s="144">
        <f t="shared" si="0"/>
        <v>89857.857974565923</v>
      </c>
    </row>
    <row r="61" spans="3:16" x14ac:dyDescent="0.2">
      <c r="C61" s="145"/>
      <c r="D61" s="164" t="s">
        <v>262</v>
      </c>
      <c r="E61" s="137">
        <v>37110</v>
      </c>
      <c r="F61" s="172" t="str">
        <f t="shared" si="1"/>
        <v>2001-02</v>
      </c>
      <c r="H61" s="173" t="s">
        <v>190</v>
      </c>
      <c r="I61" s="174">
        <v>25184.239534746859</v>
      </c>
      <c r="J61" s="168">
        <f>IF(E61&lt;DATE(2016,1,1),IF(OR(M61="metres",M61="pipe"),INDEX('Scheme cost allocation'!$D$21:$D$42,MATCH(IF(MONTH(E61)&lt;7,YEAR(E61),YEAR(E61)+1),'Scheme cost allocation'!$C$21:$C$42,0))*'Scheme cost allocation'!$J$21,'Scheme cost allocation'!$J$21),'Scheme cost allocation'!$J$21)</f>
        <v>0.90850599752846017</v>
      </c>
      <c r="K61" s="47"/>
      <c r="L61" s="169">
        <v>22.204857689299999</v>
      </c>
      <c r="M61" s="175" t="s">
        <v>191</v>
      </c>
      <c r="N61" s="169">
        <v>9378.7012439569371</v>
      </c>
      <c r="O61" s="143">
        <f t="shared" si="2"/>
        <v>208252.72643252465</v>
      </c>
      <c r="P61" s="144">
        <f t="shared" si="0"/>
        <v>189198.85096560232</v>
      </c>
    </row>
    <row r="62" spans="3:16" x14ac:dyDescent="0.2">
      <c r="C62" s="145"/>
      <c r="D62" s="164" t="s">
        <v>262</v>
      </c>
      <c r="E62" s="137">
        <v>37110</v>
      </c>
      <c r="F62" s="172" t="str">
        <f t="shared" si="1"/>
        <v>2001-02</v>
      </c>
      <c r="H62" s="173" t="s">
        <v>190</v>
      </c>
      <c r="I62" s="174">
        <v>25184.239534746859</v>
      </c>
      <c r="J62" s="168">
        <f>IF(E62&lt;DATE(2016,1,1),IF(OR(M62="metres",M62="pipe"),INDEX('Scheme cost allocation'!$D$21:$D$42,MATCH(IF(MONTH(E62)&lt;7,YEAR(E62),YEAR(E62)+1),'Scheme cost allocation'!$C$21:$C$42,0))*'Scheme cost allocation'!$J$21,'Scheme cost allocation'!$J$21),'Scheme cost allocation'!$J$21)</f>
        <v>0.90850599752846017</v>
      </c>
      <c r="K62" s="47"/>
      <c r="L62" s="169">
        <v>22.042510065799998</v>
      </c>
      <c r="M62" s="175" t="s">
        <v>191</v>
      </c>
      <c r="N62" s="169">
        <v>9378.7012439569371</v>
      </c>
      <c r="O62" s="143">
        <f t="shared" si="2"/>
        <v>206730.11657405176</v>
      </c>
      <c r="P62" s="144">
        <f t="shared" si="0"/>
        <v>187815.55077728376</v>
      </c>
    </row>
    <row r="63" spans="3:16" x14ac:dyDescent="0.2">
      <c r="C63" s="145"/>
      <c r="D63" s="164" t="s">
        <v>262</v>
      </c>
      <c r="E63" s="137">
        <v>37110</v>
      </c>
      <c r="F63" s="172" t="str">
        <f t="shared" si="1"/>
        <v>2001-02</v>
      </c>
      <c r="H63" s="173" t="s">
        <v>190</v>
      </c>
      <c r="I63" s="174">
        <v>25184.239534746859</v>
      </c>
      <c r="J63" s="168">
        <f>IF(E63&lt;DATE(2016,1,1),IF(OR(M63="metres",M63="pipe"),INDEX('Scheme cost allocation'!$D$21:$D$42,MATCH(IF(MONTH(E63)&lt;7,YEAR(E63),YEAR(E63)+1),'Scheme cost allocation'!$C$21:$C$42,0))*'Scheme cost allocation'!$J$21,'Scheme cost allocation'!$J$21),'Scheme cost allocation'!$J$21)</f>
        <v>0.90850599752846017</v>
      </c>
      <c r="K63" s="47"/>
      <c r="L63" s="169">
        <v>6.8107422468100003</v>
      </c>
      <c r="M63" s="175" t="s">
        <v>191</v>
      </c>
      <c r="N63" s="169">
        <v>9378.7012439569371</v>
      </c>
      <c r="O63" s="143">
        <f t="shared" si="2"/>
        <v>63875.916782427012</v>
      </c>
      <c r="P63" s="144">
        <f t="shared" si="0"/>
        <v>58031.653494463761</v>
      </c>
    </row>
    <row r="64" spans="3:16" x14ac:dyDescent="0.2">
      <c r="C64" s="145"/>
      <c r="D64" s="164" t="s">
        <v>262</v>
      </c>
      <c r="E64" s="137">
        <v>37110</v>
      </c>
      <c r="F64" s="172" t="str">
        <f t="shared" si="1"/>
        <v>2001-02</v>
      </c>
      <c r="H64" s="173" t="s">
        <v>190</v>
      </c>
      <c r="I64" s="174">
        <v>25184.239534746859</v>
      </c>
      <c r="J64" s="168">
        <f>IF(E64&lt;DATE(2016,1,1),IF(OR(M64="metres",M64="pipe"),INDEX('Scheme cost allocation'!$D$21:$D$42,MATCH(IF(MONTH(E64)&lt;7,YEAR(E64),YEAR(E64)+1),'Scheme cost allocation'!$C$21:$C$42,0))*'Scheme cost allocation'!$J$21,'Scheme cost allocation'!$J$21),'Scheme cost allocation'!$J$21)</f>
        <v>0.90850599752846017</v>
      </c>
      <c r="K64" s="47"/>
      <c r="L64" s="169">
        <v>9.8727545232199994</v>
      </c>
      <c r="M64" s="175" t="s">
        <v>191</v>
      </c>
      <c r="N64" s="169">
        <v>9378.7012439569389</v>
      </c>
      <c r="O64" s="143">
        <f t="shared" si="2"/>
        <v>92593.61512820491</v>
      </c>
      <c r="P64" s="144">
        <f t="shared" si="0"/>
        <v>84121.854676816118</v>
      </c>
    </row>
    <row r="65" spans="3:16" x14ac:dyDescent="0.2">
      <c r="C65" s="145"/>
      <c r="D65" s="164" t="s">
        <v>262</v>
      </c>
      <c r="E65" s="137">
        <v>37110</v>
      </c>
      <c r="F65" s="172" t="str">
        <f t="shared" si="1"/>
        <v>2001-02</v>
      </c>
      <c r="H65" s="173" t="s">
        <v>190</v>
      </c>
      <c r="I65" s="174">
        <v>25184.239534746859</v>
      </c>
      <c r="J65" s="168">
        <f>IF(E65&lt;DATE(2016,1,1),IF(OR(M65="metres",M65="pipe"),INDEX('Scheme cost allocation'!$D$21:$D$42,MATCH(IF(MONTH(E65)&lt;7,YEAR(E65),YEAR(E65)+1),'Scheme cost allocation'!$C$21:$C$42,0))*'Scheme cost allocation'!$J$21,'Scheme cost allocation'!$J$21),'Scheme cost allocation'!$J$21)</f>
        <v>0.90850599752846017</v>
      </c>
      <c r="K65" s="47"/>
      <c r="L65" s="169">
        <v>11.7374019872</v>
      </c>
      <c r="M65" s="175" t="s">
        <v>191</v>
      </c>
      <c r="N65" s="169">
        <v>9378.7012439569371</v>
      </c>
      <c r="O65" s="143">
        <f t="shared" si="2"/>
        <v>110081.58661817526</v>
      </c>
      <c r="P65" s="144">
        <f t="shared" si="0"/>
        <v>100009.78166006091</v>
      </c>
    </row>
    <row r="66" spans="3:16" x14ac:dyDescent="0.2">
      <c r="C66" s="145"/>
      <c r="D66" s="164" t="s">
        <v>262</v>
      </c>
      <c r="E66" s="137">
        <v>37110</v>
      </c>
      <c r="F66" s="172" t="str">
        <f t="shared" si="1"/>
        <v>2001-02</v>
      </c>
      <c r="H66" s="173" t="s">
        <v>190</v>
      </c>
      <c r="I66" s="174">
        <v>25184.239534746859</v>
      </c>
      <c r="J66" s="168">
        <f>IF(E66&lt;DATE(2016,1,1),IF(OR(M66="metres",M66="pipe"),INDEX('Scheme cost allocation'!$D$21:$D$42,MATCH(IF(MONTH(E66)&lt;7,YEAR(E66),YEAR(E66)+1),'Scheme cost allocation'!$C$21:$C$42,0))*'Scheme cost allocation'!$J$21,'Scheme cost allocation'!$J$21),'Scheme cost allocation'!$J$21)</f>
        <v>0.90850599752846017</v>
      </c>
      <c r="K66" s="47"/>
      <c r="L66" s="169">
        <v>9.2268171427999999</v>
      </c>
      <c r="M66" s="175" t="s">
        <v>191</v>
      </c>
      <c r="N66" s="169">
        <v>9378.7012439569371</v>
      </c>
      <c r="O66" s="143">
        <f t="shared" si="2"/>
        <v>86535.561414941549</v>
      </c>
      <c r="P66" s="144">
        <f t="shared" si="0"/>
        <v>78618.076544966796</v>
      </c>
    </row>
    <row r="67" spans="3:16" x14ac:dyDescent="0.2">
      <c r="C67" s="145"/>
      <c r="D67" s="164" t="s">
        <v>262</v>
      </c>
      <c r="E67" s="137">
        <v>37110</v>
      </c>
      <c r="F67" s="172" t="str">
        <f t="shared" si="1"/>
        <v>2001-02</v>
      </c>
      <c r="H67" s="173" t="s">
        <v>190</v>
      </c>
      <c r="I67" s="174">
        <v>25184.239534746859</v>
      </c>
      <c r="J67" s="168">
        <f>IF(E67&lt;DATE(2016,1,1),IF(OR(M67="metres",M67="pipe"),INDEX('Scheme cost allocation'!$D$21:$D$42,MATCH(IF(MONTH(E67)&lt;7,YEAR(E67),YEAR(E67)+1),'Scheme cost allocation'!$C$21:$C$42,0))*'Scheme cost allocation'!$J$21,'Scheme cost allocation'!$J$21),'Scheme cost allocation'!$J$21)</f>
        <v>0.90850599752846017</v>
      </c>
      <c r="K67" s="47"/>
      <c r="L67" s="169">
        <v>52.169227781700002</v>
      </c>
      <c r="M67" s="175" t="s">
        <v>191</v>
      </c>
      <c r="N67" s="169">
        <v>9378.7012439569371</v>
      </c>
      <c r="O67" s="143">
        <f t="shared" si="2"/>
        <v>489279.60149250261</v>
      </c>
      <c r="P67" s="144">
        <f t="shared" si="0"/>
        <v>444513.45242427354</v>
      </c>
    </row>
    <row r="68" spans="3:16" x14ac:dyDescent="0.2">
      <c r="C68" s="145"/>
      <c r="D68" s="164" t="s">
        <v>262</v>
      </c>
      <c r="E68" s="137">
        <v>37110</v>
      </c>
      <c r="F68" s="172" t="str">
        <f t="shared" si="1"/>
        <v>2001-02</v>
      </c>
      <c r="H68" s="173" t="s">
        <v>190</v>
      </c>
      <c r="I68" s="174">
        <v>25184.239534746859</v>
      </c>
      <c r="J68" s="168">
        <f>IF(E68&lt;DATE(2016,1,1),IF(OR(M68="metres",M68="pipe"),INDEX('Scheme cost allocation'!$D$21:$D$42,MATCH(IF(MONTH(E68)&lt;7,YEAR(E68),YEAR(E68)+1),'Scheme cost allocation'!$C$21:$C$42,0))*'Scheme cost allocation'!$J$21,'Scheme cost allocation'!$J$21),'Scheme cost allocation'!$J$21)</f>
        <v>0.90850599752846017</v>
      </c>
      <c r="K68" s="47"/>
      <c r="L68" s="169">
        <v>45.6775750483</v>
      </c>
      <c r="M68" s="175" t="s">
        <v>191</v>
      </c>
      <c r="N68" s="169">
        <v>9378.7012439569371</v>
      </c>
      <c r="O68" s="143">
        <f t="shared" si="2"/>
        <v>428396.32992642757</v>
      </c>
      <c r="P68" s="144">
        <f t="shared" si="0"/>
        <v>389200.63505734043</v>
      </c>
    </row>
    <row r="69" spans="3:16" x14ac:dyDescent="0.2">
      <c r="C69" s="145"/>
      <c r="D69" s="164" t="s">
        <v>263</v>
      </c>
      <c r="E69" s="137">
        <v>37110</v>
      </c>
      <c r="F69" s="172" t="str">
        <f t="shared" si="1"/>
        <v>2001-02</v>
      </c>
      <c r="H69" s="173" t="s">
        <v>190</v>
      </c>
      <c r="I69" s="174">
        <v>25184.239534746859</v>
      </c>
      <c r="J69" s="168">
        <f>IF(E69&lt;DATE(2016,1,1),IF(OR(M69="metres",M69="pipe"),INDEX('Scheme cost allocation'!$D$21:$D$42,MATCH(IF(MONTH(E69)&lt;7,YEAR(E69),YEAR(E69)+1),'Scheme cost allocation'!$C$21:$C$42,0))*'Scheme cost allocation'!$J$21,'Scheme cost allocation'!$J$21),'Scheme cost allocation'!$J$21)</f>
        <v>0.90850599752846017</v>
      </c>
      <c r="K69" s="47"/>
      <c r="L69" s="169">
        <v>41.638136776899998</v>
      </c>
      <c r="M69" s="175" t="s">
        <v>191</v>
      </c>
      <c r="N69" s="169">
        <v>20731.274838811467</v>
      </c>
      <c r="O69" s="143">
        <f t="shared" si="2"/>
        <v>863211.65729793732</v>
      </c>
      <c r="P69" s="144">
        <f t="shared" si="0"/>
        <v>784232.96779165789</v>
      </c>
    </row>
    <row r="70" spans="3:16" x14ac:dyDescent="0.2">
      <c r="C70" s="145"/>
      <c r="D70" s="164" t="s">
        <v>264</v>
      </c>
      <c r="E70" s="137">
        <v>37110</v>
      </c>
      <c r="F70" s="172" t="str">
        <f t="shared" si="1"/>
        <v>2001-02</v>
      </c>
      <c r="H70" s="173" t="s">
        <v>190</v>
      </c>
      <c r="I70" s="174">
        <v>25184.239534746859</v>
      </c>
      <c r="J70" s="168">
        <f>IF(E70&lt;DATE(2016,1,1),IF(OR(M70="metres",M70="pipe"),INDEX('Scheme cost allocation'!$D$21:$D$42,MATCH(IF(MONTH(E70)&lt;7,YEAR(E70),YEAR(E70)+1),'Scheme cost allocation'!$C$21:$C$42,0))*'Scheme cost allocation'!$J$21,'Scheme cost allocation'!$J$21),'Scheme cost allocation'!$J$21)</f>
        <v>0.90850599752846017</v>
      </c>
      <c r="K70" s="47"/>
      <c r="L70" s="169">
        <v>53.9669733347</v>
      </c>
      <c r="M70" s="175" t="s">
        <v>191</v>
      </c>
      <c r="N70" s="169">
        <v>14030.333094442432</v>
      </c>
      <c r="O70" s="143">
        <f t="shared" si="2"/>
        <v>757174.61198473372</v>
      </c>
      <c r="P70" s="144">
        <f t="shared" si="0"/>
        <v>687897.67616441532</v>
      </c>
    </row>
    <row r="71" spans="3:16" x14ac:dyDescent="0.2">
      <c r="C71" s="145"/>
      <c r="D71" s="164" t="s">
        <v>264</v>
      </c>
      <c r="E71" s="137">
        <v>37110</v>
      </c>
      <c r="F71" s="172" t="str">
        <f t="shared" si="1"/>
        <v>2001-02</v>
      </c>
      <c r="H71" s="173" t="s">
        <v>190</v>
      </c>
      <c r="I71" s="174">
        <v>25184.239534746859</v>
      </c>
      <c r="J71" s="168">
        <f>IF(E71&lt;DATE(2016,1,1),IF(OR(M71="metres",M71="pipe"),INDEX('Scheme cost allocation'!$D$21:$D$42,MATCH(IF(MONTH(E71)&lt;7,YEAR(E71),YEAR(E71)+1),'Scheme cost allocation'!$C$21:$C$42,0))*'Scheme cost allocation'!$J$21,'Scheme cost allocation'!$J$21),'Scheme cost allocation'!$J$21)</f>
        <v>0.90850599752846017</v>
      </c>
      <c r="K71" s="47"/>
      <c r="L71" s="169">
        <v>52.262721506600002</v>
      </c>
      <c r="M71" s="175" t="s">
        <v>191</v>
      </c>
      <c r="N71" s="169">
        <v>14030.333094442436</v>
      </c>
      <c r="O71" s="143">
        <f t="shared" si="2"/>
        <v>733263.39115967846</v>
      </c>
      <c r="P71" s="144">
        <f t="shared" si="0"/>
        <v>666174.18863662519</v>
      </c>
    </row>
    <row r="72" spans="3:16" x14ac:dyDescent="0.2">
      <c r="C72" s="145"/>
      <c r="D72" s="164" t="s">
        <v>193</v>
      </c>
      <c r="E72" s="137">
        <v>37110</v>
      </c>
      <c r="F72" s="172" t="str">
        <f t="shared" si="1"/>
        <v>2001-02</v>
      </c>
      <c r="H72" s="173" t="s">
        <v>190</v>
      </c>
      <c r="I72" s="174">
        <v>25184.239534746859</v>
      </c>
      <c r="J72" s="168">
        <f>IF(E72&lt;DATE(2016,1,1),IF(OR(M72="metres",M72="pipe"),INDEX('Scheme cost allocation'!$D$21:$D$42,MATCH(IF(MONTH(E72)&lt;7,YEAR(E72),YEAR(E72)+1),'Scheme cost allocation'!$C$21:$C$42,0))*'Scheme cost allocation'!$J$21,'Scheme cost allocation'!$J$21),'Scheme cost allocation'!$J$21)</f>
        <v>0.90850599752846017</v>
      </c>
      <c r="K72" s="47"/>
      <c r="L72" s="169">
        <v>4.2017186996799998</v>
      </c>
      <c r="M72" s="175" t="s">
        <v>191</v>
      </c>
      <c r="N72" s="169">
        <v>14279.1564372052</v>
      </c>
      <c r="O72" s="143">
        <f t="shared" si="2"/>
        <v>59996.998617861129</v>
      </c>
      <c r="P72" s="144">
        <f t="shared" si="0"/>
        <v>54507.63307803357</v>
      </c>
    </row>
    <row r="73" spans="3:16" x14ac:dyDescent="0.2">
      <c r="C73" s="145"/>
      <c r="D73" s="164" t="s">
        <v>193</v>
      </c>
      <c r="E73" s="137">
        <v>37110</v>
      </c>
      <c r="F73" s="172" t="str">
        <f t="shared" si="1"/>
        <v>2001-02</v>
      </c>
      <c r="H73" s="173" t="s">
        <v>190</v>
      </c>
      <c r="I73" s="174">
        <v>25184.239534746859</v>
      </c>
      <c r="J73" s="168">
        <f>IF(E73&lt;DATE(2016,1,1),IF(OR(M73="metres",M73="pipe"),INDEX('Scheme cost allocation'!$D$21:$D$42,MATCH(IF(MONTH(E73)&lt;7,YEAR(E73),YEAR(E73)+1),'Scheme cost allocation'!$C$21:$C$42,0))*'Scheme cost allocation'!$J$21,'Scheme cost allocation'!$J$21),'Scheme cost allocation'!$J$21)</f>
        <v>0.90850599752846017</v>
      </c>
      <c r="K73" s="47"/>
      <c r="L73" s="169">
        <v>31.779251375099999</v>
      </c>
      <c r="M73" s="175" t="s">
        <v>191</v>
      </c>
      <c r="N73" s="169">
        <v>14279.1564372052</v>
      </c>
      <c r="O73" s="143">
        <f t="shared" si="2"/>
        <v>453780.90184232133</v>
      </c>
      <c r="P73" s="144">
        <f t="shared" si="0"/>
        <v>412262.6708876224</v>
      </c>
    </row>
    <row r="74" spans="3:16" ht="22.8" x14ac:dyDescent="0.2">
      <c r="C74" s="145"/>
      <c r="D74" s="164" t="s">
        <v>265</v>
      </c>
      <c r="E74" s="137">
        <v>37117</v>
      </c>
      <c r="F74" s="172" t="str">
        <f t="shared" si="1"/>
        <v>2001-02</v>
      </c>
      <c r="H74" s="173" t="s">
        <v>190</v>
      </c>
      <c r="I74" s="174">
        <v>25184.239534746859</v>
      </c>
      <c r="J74" s="168">
        <f>IF(E74&lt;DATE(2016,1,1),IF(OR(M74="metres",M74="pipe"),INDEX('Scheme cost allocation'!$D$21:$D$42,MATCH(IF(MONTH(E74)&lt;7,YEAR(E74),YEAR(E74)+1),'Scheme cost allocation'!$C$21:$C$42,0))*'Scheme cost allocation'!$J$21,'Scheme cost allocation'!$J$21),'Scheme cost allocation'!$J$21)</f>
        <v>0.90850599752846017</v>
      </c>
      <c r="K74" s="47"/>
      <c r="L74" s="169">
        <v>135.478101251</v>
      </c>
      <c r="M74" s="175" t="s">
        <v>191</v>
      </c>
      <c r="N74" s="169">
        <v>13901.488916567916</v>
      </c>
      <c r="O74" s="143">
        <f t="shared" si="2"/>
        <v>1883347.3229784423</v>
      </c>
      <c r="P74" s="144">
        <f t="shared" si="0"/>
        <v>1711032.3383550849</v>
      </c>
    </row>
    <row r="75" spans="3:16" ht="22.8" x14ac:dyDescent="0.2">
      <c r="C75" s="145"/>
      <c r="D75" s="164" t="s">
        <v>224</v>
      </c>
      <c r="E75" s="137">
        <v>37117</v>
      </c>
      <c r="F75" s="172" t="str">
        <f t="shared" si="1"/>
        <v>2001-02</v>
      </c>
      <c r="H75" s="173" t="s">
        <v>190</v>
      </c>
      <c r="I75" s="174">
        <v>25184.239534746859</v>
      </c>
      <c r="J75" s="168">
        <f>IF(E75&lt;DATE(2016,1,1),IF(OR(M75="metres",M75="pipe"),INDEX('Scheme cost allocation'!$D$21:$D$42,MATCH(IF(MONTH(E75)&lt;7,YEAR(E75),YEAR(E75)+1),'Scheme cost allocation'!$C$21:$C$42,0))*'Scheme cost allocation'!$J$21,'Scheme cost allocation'!$J$21),'Scheme cost allocation'!$J$21)</f>
        <v>0.90850599752846017</v>
      </c>
      <c r="K75" s="47"/>
      <c r="L75" s="169">
        <v>60.351788869099998</v>
      </c>
      <c r="M75" s="175" t="s">
        <v>191</v>
      </c>
      <c r="N75" s="169">
        <v>13901.488916567916</v>
      </c>
      <c r="O75" s="143">
        <f t="shared" si="2"/>
        <v>838979.72405884054</v>
      </c>
      <c r="P75" s="144">
        <f t="shared" si="0"/>
        <v>762218.11111222918</v>
      </c>
    </row>
    <row r="76" spans="3:16" ht="22.8" x14ac:dyDescent="0.2">
      <c r="C76" s="145"/>
      <c r="D76" s="164" t="s">
        <v>265</v>
      </c>
      <c r="E76" s="137">
        <v>37117</v>
      </c>
      <c r="F76" s="172" t="str">
        <f t="shared" si="1"/>
        <v>2001-02</v>
      </c>
      <c r="H76" s="173" t="s">
        <v>190</v>
      </c>
      <c r="I76" s="174">
        <v>25184.239534746859</v>
      </c>
      <c r="J76" s="168">
        <f>IF(E76&lt;DATE(2016,1,1),IF(OR(M76="metres",M76="pipe"),INDEX('Scheme cost allocation'!$D$21:$D$42,MATCH(IF(MONTH(E76)&lt;7,YEAR(E76),YEAR(E76)+1),'Scheme cost allocation'!$C$21:$C$42,0))*'Scheme cost allocation'!$J$21,'Scheme cost allocation'!$J$21),'Scheme cost allocation'!$J$21)</f>
        <v>0.90850599752846017</v>
      </c>
      <c r="K76" s="47"/>
      <c r="L76" s="169">
        <v>4.0248419844800001</v>
      </c>
      <c r="M76" s="175" t="s">
        <v>191</v>
      </c>
      <c r="N76" s="169">
        <v>13901.488916567914</v>
      </c>
      <c r="O76" s="143">
        <f t="shared" si="2"/>
        <v>55951.296238185932</v>
      </c>
      <c r="P76" s="144">
        <f t="shared" si="0"/>
        <v>50832.088201883489</v>
      </c>
    </row>
    <row r="77" spans="3:16" ht="22.8" x14ac:dyDescent="0.2">
      <c r="C77" s="145"/>
      <c r="D77" s="164" t="s">
        <v>265</v>
      </c>
      <c r="E77" s="137">
        <v>37117</v>
      </c>
      <c r="F77" s="172" t="str">
        <f t="shared" si="1"/>
        <v>2001-02</v>
      </c>
      <c r="H77" s="173" t="s">
        <v>190</v>
      </c>
      <c r="I77" s="174">
        <v>25184.239534746859</v>
      </c>
      <c r="J77" s="168">
        <f>IF(E77&lt;DATE(2016,1,1),IF(OR(M77="metres",M77="pipe"),INDEX('Scheme cost allocation'!$D$21:$D$42,MATCH(IF(MONTH(E77)&lt;7,YEAR(E77),YEAR(E77)+1),'Scheme cost allocation'!$C$21:$C$42,0))*'Scheme cost allocation'!$J$21,'Scheme cost allocation'!$J$21),'Scheme cost allocation'!$J$21)</f>
        <v>0.90850599752846017</v>
      </c>
      <c r="K77" s="47"/>
      <c r="L77" s="169">
        <v>4.88412940042</v>
      </c>
      <c r="M77" s="175" t="s">
        <v>191</v>
      </c>
      <c r="N77" s="169">
        <v>13901.488916567914</v>
      </c>
      <c r="O77" s="143">
        <f t="shared" si="2"/>
        <v>67896.670727022123</v>
      </c>
      <c r="P77" s="144">
        <f t="shared" si="0"/>
        <v>61684.532567714632</v>
      </c>
    </row>
    <row r="78" spans="3:16" x14ac:dyDescent="0.2">
      <c r="C78" s="145"/>
      <c r="D78" s="164" t="s">
        <v>266</v>
      </c>
      <c r="E78" s="137">
        <v>37117</v>
      </c>
      <c r="F78" s="172" t="str">
        <f t="shared" si="1"/>
        <v>2001-02</v>
      </c>
      <c r="H78" s="173" t="s">
        <v>190</v>
      </c>
      <c r="I78" s="174">
        <v>25184.239534746859</v>
      </c>
      <c r="J78" s="168">
        <f>IF(E78&lt;DATE(2016,1,1),IF(OR(M78="metres",M78="pipe"),INDEX('Scheme cost allocation'!$D$21:$D$42,MATCH(IF(MONTH(E78)&lt;7,YEAR(E78),YEAR(E78)+1),'Scheme cost allocation'!$C$21:$C$42,0))*'Scheme cost allocation'!$J$21,'Scheme cost allocation'!$J$21),'Scheme cost allocation'!$J$21)</f>
        <v>0.90850599752846017</v>
      </c>
      <c r="K78" s="47"/>
      <c r="L78" s="169">
        <v>3.1429484580099998</v>
      </c>
      <c r="M78" s="175" t="s">
        <v>191</v>
      </c>
      <c r="N78" s="169">
        <v>12966.376042687152</v>
      </c>
      <c r="O78" s="143">
        <f t="shared" si="2"/>
        <v>40752.651589341389</v>
      </c>
      <c r="P78" s="144">
        <f t="shared" si="0"/>
        <v>37024.028384104386</v>
      </c>
    </row>
    <row r="79" spans="3:16" x14ac:dyDescent="0.2">
      <c r="C79" s="145"/>
      <c r="D79" s="164" t="s">
        <v>267</v>
      </c>
      <c r="E79" s="137">
        <v>37117</v>
      </c>
      <c r="F79" s="172" t="str">
        <f t="shared" si="1"/>
        <v>2001-02</v>
      </c>
      <c r="H79" s="173" t="s">
        <v>190</v>
      </c>
      <c r="I79" s="174">
        <v>25184.239534746859</v>
      </c>
      <c r="J79" s="168">
        <f>IF(E79&lt;DATE(2016,1,1),IF(OR(M79="metres",M79="pipe"),INDEX('Scheme cost allocation'!$D$21:$D$42,MATCH(IF(MONTH(E79)&lt;7,YEAR(E79),YEAR(E79)+1),'Scheme cost allocation'!$C$21:$C$42,0))*'Scheme cost allocation'!$J$21,'Scheme cost allocation'!$J$21),'Scheme cost allocation'!$J$21)</f>
        <v>0.90850599752846017</v>
      </c>
      <c r="K79" s="47"/>
      <c r="L79" s="169">
        <v>30.921075356599999</v>
      </c>
      <c r="M79" s="175" t="s">
        <v>191</v>
      </c>
      <c r="N79" s="169">
        <v>12966.37604268715</v>
      </c>
      <c r="O79" s="143">
        <f t="shared" si="2"/>
        <v>400934.29071794229</v>
      </c>
      <c r="P79" s="144">
        <f t="shared" si="0"/>
        <v>364251.20773206983</v>
      </c>
    </row>
    <row r="80" spans="3:16" x14ac:dyDescent="0.2">
      <c r="C80" s="145"/>
      <c r="D80" s="164" t="s">
        <v>267</v>
      </c>
      <c r="E80" s="137">
        <v>37117</v>
      </c>
      <c r="F80" s="172" t="str">
        <f t="shared" si="1"/>
        <v>2001-02</v>
      </c>
      <c r="H80" s="173" t="s">
        <v>190</v>
      </c>
      <c r="I80" s="174">
        <v>25184.239534746859</v>
      </c>
      <c r="J80" s="168">
        <f>IF(E80&lt;DATE(2016,1,1),IF(OR(M80="metres",M80="pipe"),INDEX('Scheme cost allocation'!$D$21:$D$42,MATCH(IF(MONTH(E80)&lt;7,YEAR(E80),YEAR(E80)+1),'Scheme cost allocation'!$C$21:$C$42,0))*'Scheme cost allocation'!$J$21,'Scheme cost allocation'!$J$21),'Scheme cost allocation'!$J$21)</f>
        <v>0.90850599752846017</v>
      </c>
      <c r="K80" s="47"/>
      <c r="L80" s="169">
        <v>30.755228853399998</v>
      </c>
      <c r="M80" s="175" t="s">
        <v>191</v>
      </c>
      <c r="N80" s="169">
        <v>12966.37604268715</v>
      </c>
      <c r="O80" s="143">
        <f t="shared" si="2"/>
        <v>398783.86259208631</v>
      </c>
      <c r="P80" s="144">
        <f t="shared" si="0"/>
        <v>362297.53088247578</v>
      </c>
    </row>
    <row r="81" spans="3:16" x14ac:dyDescent="0.2">
      <c r="C81" s="145"/>
      <c r="D81" s="164" t="s">
        <v>262</v>
      </c>
      <c r="E81" s="137">
        <v>37117</v>
      </c>
      <c r="F81" s="172" t="str">
        <f t="shared" si="1"/>
        <v>2001-02</v>
      </c>
      <c r="H81" s="173" t="s">
        <v>190</v>
      </c>
      <c r="I81" s="174">
        <v>25184.239534746859</v>
      </c>
      <c r="J81" s="168">
        <f>IF(E81&lt;DATE(2016,1,1),IF(OR(M81="metres",M81="pipe"),INDEX('Scheme cost allocation'!$D$21:$D$42,MATCH(IF(MONTH(E81)&lt;7,YEAR(E81),YEAR(E81)+1),'Scheme cost allocation'!$C$21:$C$42,0))*'Scheme cost allocation'!$J$21,'Scheme cost allocation'!$J$21),'Scheme cost allocation'!$J$21)</f>
        <v>0.90850599752846017</v>
      </c>
      <c r="K81" s="47"/>
      <c r="L81" s="169">
        <v>42.426674852600001</v>
      </c>
      <c r="M81" s="175" t="s">
        <v>191</v>
      </c>
      <c r="N81" s="169">
        <v>9378.7012439569371</v>
      </c>
      <c r="O81" s="143">
        <f t="shared" si="2"/>
        <v>397907.10821703612</v>
      </c>
      <c r="P81" s="144">
        <f t="shared" si="0"/>
        <v>361500.99427438335</v>
      </c>
    </row>
    <row r="82" spans="3:16" x14ac:dyDescent="0.2">
      <c r="C82" s="145"/>
      <c r="D82" s="164" t="s">
        <v>268</v>
      </c>
      <c r="E82" s="137">
        <v>37117</v>
      </c>
      <c r="F82" s="172" t="str">
        <f t="shared" si="1"/>
        <v>2001-02</v>
      </c>
      <c r="H82" s="173" t="s">
        <v>190</v>
      </c>
      <c r="I82" s="174">
        <v>25184.239534746859</v>
      </c>
      <c r="J82" s="168">
        <f>IF(E82&lt;DATE(2016,1,1),IF(OR(M82="metres",M82="pipe"),INDEX('Scheme cost allocation'!$D$21:$D$42,MATCH(IF(MONTH(E82)&lt;7,YEAR(E82),YEAR(E82)+1),'Scheme cost allocation'!$C$21:$C$42,0))*'Scheme cost allocation'!$J$21,'Scheme cost allocation'!$J$21),'Scheme cost allocation'!$J$21)</f>
        <v>0.90850599752846017</v>
      </c>
      <c r="K82" s="47"/>
      <c r="L82" s="169">
        <v>39.720814649799998</v>
      </c>
      <c r="M82" s="175" t="s">
        <v>191</v>
      </c>
      <c r="N82" s="169">
        <v>6259.6719033422014</v>
      </c>
      <c r="O82" s="143">
        <f t="shared" si="2"/>
        <v>248639.26744121636</v>
      </c>
      <c r="P82" s="144">
        <f t="shared" si="0"/>
        <v>225890.26569142786</v>
      </c>
    </row>
    <row r="83" spans="3:16" x14ac:dyDescent="0.2">
      <c r="C83" s="145"/>
      <c r="D83" s="164" t="s">
        <v>268</v>
      </c>
      <c r="E83" s="137">
        <v>37117</v>
      </c>
      <c r="F83" s="172" t="str">
        <f t="shared" si="1"/>
        <v>2001-02</v>
      </c>
      <c r="H83" s="173" t="s">
        <v>190</v>
      </c>
      <c r="I83" s="174">
        <v>25184.239534746859</v>
      </c>
      <c r="J83" s="168">
        <f>IF(E83&lt;DATE(2016,1,1),IF(OR(M83="metres",M83="pipe"),INDEX('Scheme cost allocation'!$D$21:$D$42,MATCH(IF(MONTH(E83)&lt;7,YEAR(E83),YEAR(E83)+1),'Scheme cost allocation'!$C$21:$C$42,0))*'Scheme cost allocation'!$J$21,'Scheme cost allocation'!$J$21),'Scheme cost allocation'!$J$21)</f>
        <v>0.90850599752846017</v>
      </c>
      <c r="K83" s="47"/>
      <c r="L83" s="169">
        <v>39.9884300278</v>
      </c>
      <c r="M83" s="175" t="s">
        <v>191</v>
      </c>
      <c r="N83" s="169">
        <v>6259.6719033422014</v>
      </c>
      <c r="O83" s="143">
        <f t="shared" si="2"/>
        <v>250314.45190378526</v>
      </c>
      <c r="P83" s="144">
        <f t="shared" si="0"/>
        <v>227412.18082263818</v>
      </c>
    </row>
    <row r="84" spans="3:16" x14ac:dyDescent="0.2">
      <c r="C84" s="145"/>
      <c r="D84" s="164" t="s">
        <v>262</v>
      </c>
      <c r="E84" s="137">
        <v>37117</v>
      </c>
      <c r="F84" s="172" t="str">
        <f t="shared" si="1"/>
        <v>2001-02</v>
      </c>
      <c r="H84" s="173" t="s">
        <v>190</v>
      </c>
      <c r="I84" s="174">
        <v>25184.239534746859</v>
      </c>
      <c r="J84" s="168">
        <f>IF(E84&lt;DATE(2016,1,1),IF(OR(M84="metres",M84="pipe"),INDEX('Scheme cost allocation'!$D$21:$D$42,MATCH(IF(MONTH(E84)&lt;7,YEAR(E84),YEAR(E84)+1),'Scheme cost allocation'!$C$21:$C$42,0))*'Scheme cost allocation'!$J$21,'Scheme cost allocation'!$J$21),'Scheme cost allocation'!$J$21)</f>
        <v>0.90850599752846017</v>
      </c>
      <c r="K84" s="47"/>
      <c r="L84" s="169">
        <v>47.7864051866</v>
      </c>
      <c r="M84" s="175" t="s">
        <v>191</v>
      </c>
      <c r="N84" s="169">
        <v>9378.7012439569371</v>
      </c>
      <c r="O84" s="143">
        <f t="shared" si="2"/>
        <v>448174.41776779568</v>
      </c>
      <c r="P84" s="144">
        <f t="shared" si="0"/>
        <v>407169.14648086805</v>
      </c>
    </row>
    <row r="85" spans="3:16" x14ac:dyDescent="0.2">
      <c r="C85" s="145"/>
      <c r="D85" s="164" t="s">
        <v>193</v>
      </c>
      <c r="E85" s="137">
        <v>37117</v>
      </c>
      <c r="F85" s="172" t="str">
        <f t="shared" si="1"/>
        <v>2001-02</v>
      </c>
      <c r="H85" s="173" t="s">
        <v>190</v>
      </c>
      <c r="I85" s="174">
        <v>25184.239534746859</v>
      </c>
      <c r="J85" s="168">
        <f>IF(E85&lt;DATE(2016,1,1),IF(OR(M85="metres",M85="pipe"),INDEX('Scheme cost allocation'!$D$21:$D$42,MATCH(IF(MONTH(E85)&lt;7,YEAR(E85),YEAR(E85)+1),'Scheme cost allocation'!$C$21:$C$42,0))*'Scheme cost allocation'!$J$21,'Scheme cost allocation'!$J$21),'Scheme cost allocation'!$J$21)</f>
        <v>0.90850599752846017</v>
      </c>
      <c r="K85" s="47"/>
      <c r="L85" s="169">
        <v>63.497904719600001</v>
      </c>
      <c r="M85" s="175" t="s">
        <v>191</v>
      </c>
      <c r="N85" s="169">
        <v>14279.1564372052</v>
      </c>
      <c r="O85" s="143">
        <f t="shared" si="2"/>
        <v>906696.51492591877</v>
      </c>
      <c r="P85" s="144">
        <f t="shared" si="0"/>
        <v>823739.22174835019</v>
      </c>
    </row>
    <row r="86" spans="3:16" x14ac:dyDescent="0.2">
      <c r="C86" s="145"/>
      <c r="D86" s="164" t="s">
        <v>269</v>
      </c>
      <c r="E86" s="137">
        <v>37117</v>
      </c>
      <c r="F86" s="172" t="str">
        <f t="shared" si="1"/>
        <v>2001-02</v>
      </c>
      <c r="H86" s="173" t="s">
        <v>190</v>
      </c>
      <c r="I86" s="174">
        <v>25184.239534746859</v>
      </c>
      <c r="J86" s="168">
        <f>IF(E86&lt;DATE(2016,1,1),IF(OR(M86="metres",M86="pipe"),INDEX('Scheme cost allocation'!$D$21:$D$42,MATCH(IF(MONTH(E86)&lt;7,YEAR(E86),YEAR(E86)+1),'Scheme cost allocation'!$C$21:$C$42,0))*'Scheme cost allocation'!$J$21,'Scheme cost allocation'!$J$21),'Scheme cost allocation'!$J$21)</f>
        <v>0.90850599752846017</v>
      </c>
      <c r="K86" s="47"/>
      <c r="L86" s="169">
        <v>39.142743909000004</v>
      </c>
      <c r="M86" s="175" t="s">
        <v>191</v>
      </c>
      <c r="N86" s="169">
        <v>14279.156437205202</v>
      </c>
      <c r="O86" s="143">
        <f t="shared" ref="O86:O149" si="3">IF(N86="","-",L86*N86)</f>
        <v>558925.36365807208</v>
      </c>
      <c r="P86" s="144">
        <f t="shared" ref="P86:P149" si="4">IF(O86="-","-",IF(OR(E86&lt;$E$15,E86&gt;$E$16),0,O86*J86))</f>
        <v>507787.04505413416</v>
      </c>
    </row>
    <row r="87" spans="3:16" x14ac:dyDescent="0.2">
      <c r="C87" s="145"/>
      <c r="D87" s="164" t="s">
        <v>193</v>
      </c>
      <c r="E87" s="137">
        <v>37117</v>
      </c>
      <c r="F87" s="172" t="str">
        <f t="shared" si="1"/>
        <v>2001-02</v>
      </c>
      <c r="H87" s="173" t="s">
        <v>190</v>
      </c>
      <c r="I87" s="174">
        <v>25184.239534746859</v>
      </c>
      <c r="J87" s="168">
        <f>IF(E87&lt;DATE(2016,1,1),IF(OR(M87="metres",M87="pipe"),INDEX('Scheme cost allocation'!$D$21:$D$42,MATCH(IF(MONTH(E87)&lt;7,YEAR(E87),YEAR(E87)+1),'Scheme cost allocation'!$C$21:$C$42,0))*'Scheme cost allocation'!$J$21,'Scheme cost allocation'!$J$21),'Scheme cost allocation'!$J$21)</f>
        <v>0.90850599752846017</v>
      </c>
      <c r="K87" s="47"/>
      <c r="L87" s="169">
        <v>52.932300712900002</v>
      </c>
      <c r="M87" s="175" t="s">
        <v>191</v>
      </c>
      <c r="N87" s="169">
        <v>14279.156437205202</v>
      </c>
      <c r="O87" s="143">
        <f t="shared" si="3"/>
        <v>755828.60246068751</v>
      </c>
      <c r="P87" s="144">
        <f t="shared" si="4"/>
        <v>686674.81843908888</v>
      </c>
    </row>
    <row r="88" spans="3:16" x14ac:dyDescent="0.2">
      <c r="C88" s="145"/>
      <c r="D88" s="164" t="s">
        <v>269</v>
      </c>
      <c r="E88" s="137">
        <v>37117</v>
      </c>
      <c r="F88" s="172" t="str">
        <f t="shared" si="1"/>
        <v>2001-02</v>
      </c>
      <c r="H88" s="173" t="s">
        <v>190</v>
      </c>
      <c r="I88" s="174">
        <v>25184.239534746859</v>
      </c>
      <c r="J88" s="168">
        <f>IF(E88&lt;DATE(2016,1,1),IF(OR(M88="metres",M88="pipe"),INDEX('Scheme cost allocation'!$D$21:$D$42,MATCH(IF(MONTH(E88)&lt;7,YEAR(E88),YEAR(E88)+1),'Scheme cost allocation'!$C$21:$C$42,0))*'Scheme cost allocation'!$J$21,'Scheme cost allocation'!$J$21),'Scheme cost allocation'!$J$21)</f>
        <v>0.90850599752846017</v>
      </c>
      <c r="K88" s="47"/>
      <c r="L88" s="169">
        <v>48.210068316099999</v>
      </c>
      <c r="M88" s="175" t="s">
        <v>191</v>
      </c>
      <c r="N88" s="169">
        <v>14279.1564372052</v>
      </c>
      <c r="O88" s="143">
        <f t="shared" si="3"/>
        <v>688399.10733394173</v>
      </c>
      <c r="P88" s="144">
        <f t="shared" si="4"/>
        <v>625414.7177061243</v>
      </c>
    </row>
    <row r="89" spans="3:16" x14ac:dyDescent="0.2">
      <c r="C89" s="145"/>
      <c r="D89" s="164" t="s">
        <v>193</v>
      </c>
      <c r="E89" s="137">
        <v>37117</v>
      </c>
      <c r="F89" s="172" t="str">
        <f t="shared" si="1"/>
        <v>2001-02</v>
      </c>
      <c r="H89" s="173" t="s">
        <v>190</v>
      </c>
      <c r="I89" s="174">
        <v>25184.239534746859</v>
      </c>
      <c r="J89" s="168">
        <f>IF(E89&lt;DATE(2016,1,1),IF(OR(M89="metres",M89="pipe"),INDEX('Scheme cost allocation'!$D$21:$D$42,MATCH(IF(MONTH(E89)&lt;7,YEAR(E89),YEAR(E89)+1),'Scheme cost allocation'!$C$21:$C$42,0))*'Scheme cost allocation'!$J$21,'Scheme cost allocation'!$J$21),'Scheme cost allocation'!$J$21)</f>
        <v>0.90850599752846017</v>
      </c>
      <c r="K89" s="47"/>
      <c r="L89" s="169">
        <v>30.960918031799999</v>
      </c>
      <c r="M89" s="175" t="s">
        <v>191</v>
      </c>
      <c r="N89" s="169">
        <v>14279.1564372052</v>
      </c>
      <c r="O89" s="143">
        <f t="shared" si="3"/>
        <v>442095.79201555951</v>
      </c>
      <c r="P89" s="144">
        <f t="shared" si="4"/>
        <v>401646.67852823052</v>
      </c>
    </row>
    <row r="90" spans="3:16" x14ac:dyDescent="0.2">
      <c r="C90" s="145"/>
      <c r="D90" s="164" t="s">
        <v>269</v>
      </c>
      <c r="E90" s="137">
        <v>37117</v>
      </c>
      <c r="F90" s="172" t="str">
        <f t="shared" si="1"/>
        <v>2001-02</v>
      </c>
      <c r="H90" s="173" t="s">
        <v>190</v>
      </c>
      <c r="I90" s="174">
        <v>25184.239534746859</v>
      </c>
      <c r="J90" s="168">
        <f>IF(E90&lt;DATE(2016,1,1),IF(OR(M90="metres",M90="pipe"),INDEX('Scheme cost allocation'!$D$21:$D$42,MATCH(IF(MONTH(E90)&lt;7,YEAR(E90),YEAR(E90)+1),'Scheme cost allocation'!$C$21:$C$42,0))*'Scheme cost allocation'!$J$21,'Scheme cost allocation'!$J$21),'Scheme cost allocation'!$J$21)</f>
        <v>0.90850599752846017</v>
      </c>
      <c r="K90" s="47"/>
      <c r="L90" s="169">
        <v>39.5733395094</v>
      </c>
      <c r="M90" s="175" t="s">
        <v>191</v>
      </c>
      <c r="N90" s="169">
        <v>14279.156437205198</v>
      </c>
      <c r="O90" s="143">
        <f t="shared" si="3"/>
        <v>565073.9055973558</v>
      </c>
      <c r="P90" s="144">
        <f t="shared" si="4"/>
        <v>513373.03228202864</v>
      </c>
    </row>
    <row r="91" spans="3:16" x14ac:dyDescent="0.2">
      <c r="C91" s="145"/>
      <c r="D91" s="164" t="s">
        <v>193</v>
      </c>
      <c r="E91" s="137">
        <v>37117</v>
      </c>
      <c r="F91" s="172" t="str">
        <f t="shared" si="1"/>
        <v>2001-02</v>
      </c>
      <c r="H91" s="173" t="s">
        <v>190</v>
      </c>
      <c r="I91" s="174">
        <v>25184.239534746859</v>
      </c>
      <c r="J91" s="168">
        <f>IF(E91&lt;DATE(2016,1,1),IF(OR(M91="metres",M91="pipe"),INDEX('Scheme cost allocation'!$D$21:$D$42,MATCH(IF(MONTH(E91)&lt;7,YEAR(E91),YEAR(E91)+1),'Scheme cost allocation'!$C$21:$C$42,0))*'Scheme cost allocation'!$J$21,'Scheme cost allocation'!$J$21),'Scheme cost allocation'!$J$21)</f>
        <v>0.90850599752846017</v>
      </c>
      <c r="K91" s="47"/>
      <c r="L91" s="169">
        <v>36.216211674999997</v>
      </c>
      <c r="M91" s="175" t="s">
        <v>191</v>
      </c>
      <c r="N91" s="169">
        <v>14279.1564372052</v>
      </c>
      <c r="O91" s="143">
        <f t="shared" si="3"/>
        <v>517136.95207026234</v>
      </c>
      <c r="P91" s="144">
        <f t="shared" si="4"/>
        <v>469822.0224994212</v>
      </c>
    </row>
    <row r="92" spans="3:16" x14ac:dyDescent="0.2">
      <c r="C92" s="145"/>
      <c r="D92" s="164" t="s">
        <v>269</v>
      </c>
      <c r="E92" s="137">
        <v>37117</v>
      </c>
      <c r="F92" s="172" t="str">
        <f t="shared" si="1"/>
        <v>2001-02</v>
      </c>
      <c r="H92" s="173" t="s">
        <v>190</v>
      </c>
      <c r="I92" s="174">
        <v>25184.239534746859</v>
      </c>
      <c r="J92" s="168">
        <f>IF(E92&lt;DATE(2016,1,1),IF(OR(M92="metres",M92="pipe"),INDEX('Scheme cost allocation'!$D$21:$D$42,MATCH(IF(MONTH(E92)&lt;7,YEAR(E92),YEAR(E92)+1),'Scheme cost allocation'!$C$21:$C$42,0))*'Scheme cost allocation'!$J$21,'Scheme cost allocation'!$J$21),'Scheme cost allocation'!$J$21)</f>
        <v>0.90850599752846017</v>
      </c>
      <c r="K92" s="47"/>
      <c r="L92" s="169">
        <v>34.208279101700001</v>
      </c>
      <c r="M92" s="175" t="s">
        <v>191</v>
      </c>
      <c r="N92" s="169">
        <v>14279.1564372052</v>
      </c>
      <c r="O92" s="143">
        <f t="shared" si="3"/>
        <v>488465.3687407517</v>
      </c>
      <c r="P92" s="144">
        <f t="shared" si="4"/>
        <v>443773.71708592377</v>
      </c>
    </row>
    <row r="93" spans="3:16" x14ac:dyDescent="0.2">
      <c r="C93" s="145"/>
      <c r="D93" s="164" t="s">
        <v>269</v>
      </c>
      <c r="E93" s="137">
        <v>37117</v>
      </c>
      <c r="F93" s="172" t="str">
        <f t="shared" si="1"/>
        <v>2001-02</v>
      </c>
      <c r="H93" s="173" t="s">
        <v>190</v>
      </c>
      <c r="I93" s="174">
        <v>25184.239534746859</v>
      </c>
      <c r="J93" s="168">
        <f>IF(E93&lt;DATE(2016,1,1),IF(OR(M93="metres",M93="pipe"),INDEX('Scheme cost allocation'!$D$21:$D$42,MATCH(IF(MONTH(E93)&lt;7,YEAR(E93),YEAR(E93)+1),'Scheme cost allocation'!$C$21:$C$42,0))*'Scheme cost allocation'!$J$21,'Scheme cost allocation'!$J$21),'Scheme cost allocation'!$J$21)</f>
        <v>0.90850599752846017</v>
      </c>
      <c r="K93" s="47"/>
      <c r="L93" s="169">
        <v>35.228868310099998</v>
      </c>
      <c r="M93" s="175" t="s">
        <v>191</v>
      </c>
      <c r="N93" s="169">
        <v>14279.1564372052</v>
      </c>
      <c r="O93" s="143">
        <f t="shared" si="3"/>
        <v>503038.52170561865</v>
      </c>
      <c r="P93" s="144">
        <f t="shared" si="4"/>
        <v>457013.51395740506</v>
      </c>
    </row>
    <row r="94" spans="3:16" x14ac:dyDescent="0.2">
      <c r="C94" s="145"/>
      <c r="D94" s="164" t="s">
        <v>269</v>
      </c>
      <c r="E94" s="137">
        <v>37117</v>
      </c>
      <c r="F94" s="172" t="str">
        <f t="shared" si="1"/>
        <v>2001-02</v>
      </c>
      <c r="H94" s="173" t="s">
        <v>190</v>
      </c>
      <c r="I94" s="174">
        <v>25184.239534746859</v>
      </c>
      <c r="J94" s="168">
        <f>IF(E94&lt;DATE(2016,1,1),IF(OR(M94="metres",M94="pipe"),INDEX('Scheme cost allocation'!$D$21:$D$42,MATCH(IF(MONTH(E94)&lt;7,YEAR(E94),YEAR(E94)+1),'Scheme cost allocation'!$C$21:$C$42,0))*'Scheme cost allocation'!$J$21,'Scheme cost allocation'!$J$21),'Scheme cost allocation'!$J$21)</f>
        <v>0.90850599752846017</v>
      </c>
      <c r="K94" s="47"/>
      <c r="L94" s="169">
        <v>27.4239892989</v>
      </c>
      <c r="M94" s="175" t="s">
        <v>191</v>
      </c>
      <c r="N94" s="169">
        <v>14279.1564372052</v>
      </c>
      <c r="O94" s="143">
        <f t="shared" si="3"/>
        <v>391591.43333123444</v>
      </c>
      <c r="P94" s="144">
        <f t="shared" si="4"/>
        <v>355763.16576219263</v>
      </c>
    </row>
    <row r="95" spans="3:16" x14ac:dyDescent="0.2">
      <c r="C95" s="145"/>
      <c r="D95" s="164" t="s">
        <v>269</v>
      </c>
      <c r="E95" s="137">
        <v>37117</v>
      </c>
      <c r="F95" s="172" t="str">
        <f t="shared" si="1"/>
        <v>2001-02</v>
      </c>
      <c r="H95" s="173" t="s">
        <v>190</v>
      </c>
      <c r="I95" s="174">
        <v>25184.239534746859</v>
      </c>
      <c r="J95" s="168">
        <f>IF(E95&lt;DATE(2016,1,1),IF(OR(M95="metres",M95="pipe"),INDEX('Scheme cost allocation'!$D$21:$D$42,MATCH(IF(MONTH(E95)&lt;7,YEAR(E95),YEAR(E95)+1),'Scheme cost allocation'!$C$21:$C$42,0))*'Scheme cost allocation'!$J$21,'Scheme cost allocation'!$J$21),'Scheme cost allocation'!$J$21)</f>
        <v>0.90850599752846017</v>
      </c>
      <c r="K95" s="47"/>
      <c r="L95" s="169">
        <v>51.996735412900001</v>
      </c>
      <c r="M95" s="175" t="s">
        <v>191</v>
      </c>
      <c r="N95" s="169">
        <v>14279.156437205202</v>
      </c>
      <c r="O95" s="143">
        <f t="shared" si="3"/>
        <v>742469.51918476669</v>
      </c>
      <c r="P95" s="144">
        <f t="shared" si="4"/>
        <v>674538.0111614326</v>
      </c>
    </row>
    <row r="96" spans="3:16" x14ac:dyDescent="0.2">
      <c r="C96" s="145"/>
      <c r="D96" s="164" t="s">
        <v>193</v>
      </c>
      <c r="E96" s="137">
        <v>37117</v>
      </c>
      <c r="F96" s="172" t="str">
        <f t="shared" si="1"/>
        <v>2001-02</v>
      </c>
      <c r="H96" s="173" t="s">
        <v>190</v>
      </c>
      <c r="I96" s="174">
        <v>25184.239534746859</v>
      </c>
      <c r="J96" s="168">
        <f>IF(E96&lt;DATE(2016,1,1),IF(OR(M96="metres",M96="pipe"),INDEX('Scheme cost allocation'!$D$21:$D$42,MATCH(IF(MONTH(E96)&lt;7,YEAR(E96),YEAR(E96)+1),'Scheme cost allocation'!$C$21:$C$42,0))*'Scheme cost allocation'!$J$21,'Scheme cost allocation'!$J$21),'Scheme cost allocation'!$J$21)</f>
        <v>0.90850599752846017</v>
      </c>
      <c r="K96" s="47"/>
      <c r="L96" s="169">
        <v>24.033063785100001</v>
      </c>
      <c r="M96" s="175" t="s">
        <v>191</v>
      </c>
      <c r="N96" s="169">
        <v>14279.1564372052</v>
      </c>
      <c r="O96" s="143">
        <f t="shared" si="3"/>
        <v>343171.87745277386</v>
      </c>
      <c r="P96" s="144">
        <f t="shared" si="4"/>
        <v>311773.70884894679</v>
      </c>
    </row>
    <row r="97" spans="3:16" x14ac:dyDescent="0.2">
      <c r="C97" s="145"/>
      <c r="D97" s="164" t="s">
        <v>193</v>
      </c>
      <c r="E97" s="137">
        <v>37117</v>
      </c>
      <c r="F97" s="172" t="str">
        <f t="shared" si="1"/>
        <v>2001-02</v>
      </c>
      <c r="H97" s="173" t="s">
        <v>190</v>
      </c>
      <c r="I97" s="174">
        <v>25184.239534746859</v>
      </c>
      <c r="J97" s="168">
        <f>IF(E97&lt;DATE(2016,1,1),IF(OR(M97="metres",M97="pipe"),INDEX('Scheme cost allocation'!$D$21:$D$42,MATCH(IF(MONTH(E97)&lt;7,YEAR(E97),YEAR(E97)+1),'Scheme cost allocation'!$C$21:$C$42,0))*'Scheme cost allocation'!$J$21,'Scheme cost allocation'!$J$21),'Scheme cost allocation'!$J$21)</f>
        <v>0.90850599752846017</v>
      </c>
      <c r="K97" s="47"/>
      <c r="L97" s="169">
        <v>38.208459792600003</v>
      </c>
      <c r="M97" s="175" t="s">
        <v>191</v>
      </c>
      <c r="N97" s="169">
        <v>14279.156437205198</v>
      </c>
      <c r="O97" s="143">
        <f t="shared" si="3"/>
        <v>545584.57460320031</v>
      </c>
      <c r="P97" s="144">
        <f t="shared" si="4"/>
        <v>495666.8581860211</v>
      </c>
    </row>
    <row r="98" spans="3:16" x14ac:dyDescent="0.2">
      <c r="C98" s="145"/>
      <c r="D98" s="164" t="s">
        <v>193</v>
      </c>
      <c r="E98" s="137">
        <v>37117</v>
      </c>
      <c r="F98" s="172" t="str">
        <f t="shared" si="1"/>
        <v>2001-02</v>
      </c>
      <c r="H98" s="173" t="s">
        <v>190</v>
      </c>
      <c r="I98" s="174">
        <v>25184.239534746859</v>
      </c>
      <c r="J98" s="168">
        <f>IF(E98&lt;DATE(2016,1,1),IF(OR(M98="metres",M98="pipe"),INDEX('Scheme cost allocation'!$D$21:$D$42,MATCH(IF(MONTH(E98)&lt;7,YEAR(E98),YEAR(E98)+1),'Scheme cost allocation'!$C$21:$C$42,0))*'Scheme cost allocation'!$J$21,'Scheme cost allocation'!$J$21),'Scheme cost allocation'!$J$21)</f>
        <v>0.90850599752846017</v>
      </c>
      <c r="K98" s="47"/>
      <c r="L98" s="169">
        <v>46.6559046331</v>
      </c>
      <c r="M98" s="175" t="s">
        <v>191</v>
      </c>
      <c r="N98" s="169">
        <v>14279.1564372052</v>
      </c>
      <c r="O98" s="143">
        <f t="shared" si="3"/>
        <v>666206.96097536176</v>
      </c>
      <c r="P98" s="144">
        <f t="shared" si="4"/>
        <v>605253.01964132499</v>
      </c>
    </row>
    <row r="99" spans="3:16" x14ac:dyDescent="0.2">
      <c r="C99" s="145"/>
      <c r="D99" s="164" t="s">
        <v>193</v>
      </c>
      <c r="E99" s="137">
        <v>37117</v>
      </c>
      <c r="F99" s="172" t="str">
        <f t="shared" si="1"/>
        <v>2001-02</v>
      </c>
      <c r="H99" s="173" t="s">
        <v>190</v>
      </c>
      <c r="I99" s="174">
        <v>25184.239534746859</v>
      </c>
      <c r="J99" s="168">
        <f>IF(E99&lt;DATE(2016,1,1),IF(OR(M99="metres",M99="pipe"),INDEX('Scheme cost allocation'!$D$21:$D$42,MATCH(IF(MONTH(E99)&lt;7,YEAR(E99),YEAR(E99)+1),'Scheme cost allocation'!$C$21:$C$42,0))*'Scheme cost allocation'!$J$21,'Scheme cost allocation'!$J$21),'Scheme cost allocation'!$J$21)</f>
        <v>0.90850599752846017</v>
      </c>
      <c r="K99" s="47"/>
      <c r="L99" s="169">
        <v>34.959174148700001</v>
      </c>
      <c r="M99" s="175" t="s">
        <v>191</v>
      </c>
      <c r="N99" s="169">
        <v>14279.1564372052</v>
      </c>
      <c r="O99" s="143">
        <f t="shared" si="3"/>
        <v>499187.51658478723</v>
      </c>
      <c r="P99" s="144">
        <f t="shared" si="4"/>
        <v>453514.85270861688</v>
      </c>
    </row>
    <row r="100" spans="3:16" x14ac:dyDescent="0.2">
      <c r="C100" s="145"/>
      <c r="D100" s="164" t="s">
        <v>193</v>
      </c>
      <c r="E100" s="137">
        <v>37117</v>
      </c>
      <c r="F100" s="172" t="str">
        <f t="shared" si="1"/>
        <v>2001-02</v>
      </c>
      <c r="H100" s="173" t="s">
        <v>190</v>
      </c>
      <c r="I100" s="174">
        <v>25184.239534746859</v>
      </c>
      <c r="J100" s="168">
        <f>IF(E100&lt;DATE(2016,1,1),IF(OR(M100="metres",M100="pipe"),INDEX('Scheme cost allocation'!$D$21:$D$42,MATCH(IF(MONTH(E100)&lt;7,YEAR(E100),YEAR(E100)+1),'Scheme cost allocation'!$C$21:$C$42,0))*'Scheme cost allocation'!$J$21,'Scheme cost allocation'!$J$21),'Scheme cost allocation'!$J$21)</f>
        <v>0.90850599752846017</v>
      </c>
      <c r="K100" s="47"/>
      <c r="L100" s="169">
        <v>61.943340071999998</v>
      </c>
      <c r="M100" s="175" t="s">
        <v>191</v>
      </c>
      <c r="N100" s="169">
        <v>14279.1564372052</v>
      </c>
      <c r="O100" s="143">
        <f t="shared" si="3"/>
        <v>884498.64313108963</v>
      </c>
      <c r="P100" s="144">
        <f t="shared" si="4"/>
        <v>803572.32209038013</v>
      </c>
    </row>
    <row r="101" spans="3:16" x14ac:dyDescent="0.2">
      <c r="C101" s="145"/>
      <c r="D101" s="164" t="s">
        <v>268</v>
      </c>
      <c r="E101" s="137">
        <v>37117</v>
      </c>
      <c r="F101" s="172" t="str">
        <f t="shared" si="1"/>
        <v>2001-02</v>
      </c>
      <c r="H101" s="173" t="s">
        <v>190</v>
      </c>
      <c r="I101" s="174">
        <v>25184.239534746859</v>
      </c>
      <c r="J101" s="168">
        <f>IF(E101&lt;DATE(2016,1,1),IF(OR(M101="metres",M101="pipe"),INDEX('Scheme cost allocation'!$D$21:$D$42,MATCH(IF(MONTH(E101)&lt;7,YEAR(E101),YEAR(E101)+1),'Scheme cost allocation'!$C$21:$C$42,0))*'Scheme cost allocation'!$J$21,'Scheme cost allocation'!$J$21),'Scheme cost allocation'!$J$21)</f>
        <v>0.90850599752846017</v>
      </c>
      <c r="K101" s="47"/>
      <c r="L101" s="169">
        <v>85.037930865199996</v>
      </c>
      <c r="M101" s="175" t="s">
        <v>191</v>
      </c>
      <c r="N101" s="169">
        <v>6259.6719033422005</v>
      </c>
      <c r="O101" s="143">
        <f t="shared" si="3"/>
        <v>532309.5465552489</v>
      </c>
      <c r="P101" s="144">
        <f t="shared" si="4"/>
        <v>483606.41558709875</v>
      </c>
    </row>
    <row r="102" spans="3:16" x14ac:dyDescent="0.2">
      <c r="C102" s="145"/>
      <c r="D102" s="164" t="s">
        <v>268</v>
      </c>
      <c r="E102" s="137">
        <v>37117</v>
      </c>
      <c r="F102" s="172" t="str">
        <f t="shared" si="1"/>
        <v>2001-02</v>
      </c>
      <c r="H102" s="173" t="s">
        <v>190</v>
      </c>
      <c r="I102" s="174">
        <v>25184.239534746859</v>
      </c>
      <c r="J102" s="168">
        <f>IF(E102&lt;DATE(2016,1,1),IF(OR(M102="metres",M102="pipe"),INDEX('Scheme cost allocation'!$D$21:$D$42,MATCH(IF(MONTH(E102)&lt;7,YEAR(E102),YEAR(E102)+1),'Scheme cost allocation'!$C$21:$C$42,0))*'Scheme cost allocation'!$J$21,'Scheme cost allocation'!$J$21),'Scheme cost allocation'!$J$21)</f>
        <v>0.90850599752846017</v>
      </c>
      <c r="K102" s="47"/>
      <c r="L102" s="169">
        <v>76.662202305999998</v>
      </c>
      <c r="M102" s="175" t="s">
        <v>191</v>
      </c>
      <c r="N102" s="169">
        <v>6259.6719033422005</v>
      </c>
      <c r="O102" s="143">
        <f t="shared" si="3"/>
        <v>479880.23382320383</v>
      </c>
      <c r="P102" s="144">
        <f t="shared" si="4"/>
        <v>435974.07052374049</v>
      </c>
    </row>
    <row r="103" spans="3:16" x14ac:dyDescent="0.2">
      <c r="C103" s="145"/>
      <c r="D103" s="164" t="s">
        <v>268</v>
      </c>
      <c r="E103" s="137">
        <v>37117</v>
      </c>
      <c r="F103" s="172" t="str">
        <f t="shared" si="1"/>
        <v>2001-02</v>
      </c>
      <c r="H103" s="173" t="s">
        <v>190</v>
      </c>
      <c r="I103" s="174">
        <v>25184.239534746859</v>
      </c>
      <c r="J103" s="168">
        <f>IF(E103&lt;DATE(2016,1,1),IF(OR(M103="metres",M103="pipe"),INDEX('Scheme cost allocation'!$D$21:$D$42,MATCH(IF(MONTH(E103)&lt;7,YEAR(E103),YEAR(E103)+1),'Scheme cost allocation'!$C$21:$C$42,0))*'Scheme cost allocation'!$J$21,'Scheme cost allocation'!$J$21),'Scheme cost allocation'!$J$21)</f>
        <v>0.90850599752846017</v>
      </c>
      <c r="K103" s="47"/>
      <c r="L103" s="169">
        <v>78.253229737599995</v>
      </c>
      <c r="M103" s="175" t="s">
        <v>191</v>
      </c>
      <c r="N103" s="169">
        <v>6259.6719033422005</v>
      </c>
      <c r="O103" s="143">
        <f t="shared" si="3"/>
        <v>489839.54353423702</v>
      </c>
      <c r="P103" s="144">
        <f t="shared" si="4"/>
        <v>445022.16312745761</v>
      </c>
    </row>
    <row r="104" spans="3:16" x14ac:dyDescent="0.2">
      <c r="C104" s="145"/>
      <c r="D104" s="164" t="s">
        <v>268</v>
      </c>
      <c r="E104" s="137">
        <v>37117</v>
      </c>
      <c r="F104" s="172" t="str">
        <f t="shared" si="1"/>
        <v>2001-02</v>
      </c>
      <c r="H104" s="173" t="s">
        <v>190</v>
      </c>
      <c r="I104" s="174">
        <v>25184.239534746859</v>
      </c>
      <c r="J104" s="168">
        <f>IF(E104&lt;DATE(2016,1,1),IF(OR(M104="metres",M104="pipe"),INDEX('Scheme cost allocation'!$D$21:$D$42,MATCH(IF(MONTH(E104)&lt;7,YEAR(E104),YEAR(E104)+1),'Scheme cost allocation'!$C$21:$C$42,0))*'Scheme cost allocation'!$J$21,'Scheme cost allocation'!$J$21),'Scheme cost allocation'!$J$21)</f>
        <v>0.90850599752846017</v>
      </c>
      <c r="K104" s="47"/>
      <c r="L104" s="169">
        <v>86.690087172999995</v>
      </c>
      <c r="M104" s="175" t="s">
        <v>191</v>
      </c>
      <c r="N104" s="169">
        <v>6259.6719033422014</v>
      </c>
      <c r="O104" s="143">
        <f t="shared" si="3"/>
        <v>542651.50297511427</v>
      </c>
      <c r="P104" s="144">
        <f t="shared" si="4"/>
        <v>493002.14502072439</v>
      </c>
    </row>
    <row r="105" spans="3:16" x14ac:dyDescent="0.2">
      <c r="C105" s="145"/>
      <c r="D105" s="164" t="s">
        <v>270</v>
      </c>
      <c r="E105" s="137">
        <v>37117</v>
      </c>
      <c r="F105" s="172" t="str">
        <f t="shared" ref="F105:F168" si="5">IF(E105="","-",IF(OR(E105&lt;$E$15,E105&gt;$E$16),"ERROR - date outside of range",IF(MONTH(E105)&gt;=7,YEAR(E105)&amp;"-"&amp;IF(YEAR(E105)=1999,"00",IF(AND(YEAR(E105)&gt;=2000,YEAR(E105)&lt;2009),"0","")&amp;RIGHT(YEAR(E105),2)+1),RIGHT(YEAR(E105),4)-1&amp;"-"&amp;RIGHT(YEAR(E105),2))))</f>
        <v>2001-02</v>
      </c>
      <c r="H105" s="173" t="s">
        <v>190</v>
      </c>
      <c r="I105" s="174">
        <v>25184.239534746859</v>
      </c>
      <c r="J105" s="168">
        <f>IF(E105&lt;DATE(2016,1,1),IF(OR(M105="metres",M105="pipe"),INDEX('Scheme cost allocation'!$D$21:$D$42,MATCH(IF(MONTH(E105)&lt;7,YEAR(E105),YEAR(E105)+1),'Scheme cost allocation'!$C$21:$C$42,0))*'Scheme cost allocation'!$J$21,'Scheme cost allocation'!$J$21),'Scheme cost allocation'!$J$21)</f>
        <v>0.90850599752846017</v>
      </c>
      <c r="K105" s="47"/>
      <c r="L105" s="169">
        <v>34.128785609600001</v>
      </c>
      <c r="M105" s="175" t="s">
        <v>191</v>
      </c>
      <c r="N105" s="169">
        <v>15688.759778124508</v>
      </c>
      <c r="O105" s="143">
        <f t="shared" si="3"/>
        <v>535438.31894812698</v>
      </c>
      <c r="P105" s="144">
        <f t="shared" si="4"/>
        <v>486448.92407092993</v>
      </c>
    </row>
    <row r="106" spans="3:16" x14ac:dyDescent="0.2">
      <c r="C106" s="145"/>
      <c r="D106" s="164" t="s">
        <v>270</v>
      </c>
      <c r="E106" s="137">
        <v>37117</v>
      </c>
      <c r="F106" s="172" t="str">
        <f t="shared" si="5"/>
        <v>2001-02</v>
      </c>
      <c r="H106" s="173" t="s">
        <v>190</v>
      </c>
      <c r="I106" s="174">
        <v>25184.239534746859</v>
      </c>
      <c r="J106" s="168">
        <f>IF(E106&lt;DATE(2016,1,1),IF(OR(M106="metres",M106="pipe"),INDEX('Scheme cost allocation'!$D$21:$D$42,MATCH(IF(MONTH(E106)&lt;7,YEAR(E106),YEAR(E106)+1),'Scheme cost allocation'!$C$21:$C$42,0))*'Scheme cost allocation'!$J$21,'Scheme cost allocation'!$J$21),'Scheme cost allocation'!$J$21)</f>
        <v>0.90850599752846017</v>
      </c>
      <c r="K106" s="47"/>
      <c r="L106" s="169">
        <v>36.690911076200003</v>
      </c>
      <c r="M106" s="175" t="s">
        <v>191</v>
      </c>
      <c r="N106" s="169">
        <v>15688.759778124506</v>
      </c>
      <c r="O106" s="143">
        <f t="shared" si="3"/>
        <v>575634.88991502952</v>
      </c>
      <c r="P106" s="144">
        <f t="shared" si="4"/>
        <v>522967.74987443927</v>
      </c>
    </row>
    <row r="107" spans="3:16" x14ac:dyDescent="0.2">
      <c r="C107" s="145"/>
      <c r="D107" s="164" t="s">
        <v>271</v>
      </c>
      <c r="E107" s="137">
        <v>37117</v>
      </c>
      <c r="F107" s="172" t="str">
        <f t="shared" si="5"/>
        <v>2001-02</v>
      </c>
      <c r="H107" s="173" t="s">
        <v>190</v>
      </c>
      <c r="I107" s="174">
        <v>25184.239534746859</v>
      </c>
      <c r="J107" s="168">
        <f>IF(E107&lt;DATE(2016,1,1),IF(OR(M107="metres",M107="pipe"),INDEX('Scheme cost allocation'!$D$21:$D$42,MATCH(IF(MONTH(E107)&lt;7,YEAR(E107),YEAR(E107)+1),'Scheme cost allocation'!$C$21:$C$42,0))*'Scheme cost allocation'!$J$21,'Scheme cost allocation'!$J$21),'Scheme cost allocation'!$J$21)</f>
        <v>0.90850599752846017</v>
      </c>
      <c r="K107" s="47"/>
      <c r="L107" s="169">
        <v>32.616900994799998</v>
      </c>
      <c r="M107" s="175" t="s">
        <v>191</v>
      </c>
      <c r="N107" s="169">
        <v>15688.759778124508</v>
      </c>
      <c r="O107" s="143">
        <f t="shared" si="3"/>
        <v>511718.72441428743</v>
      </c>
      <c r="P107" s="144">
        <f t="shared" si="4"/>
        <v>464899.53017799341</v>
      </c>
    </row>
    <row r="108" spans="3:16" x14ac:dyDescent="0.2">
      <c r="C108" s="145"/>
      <c r="D108" s="164" t="s">
        <v>272</v>
      </c>
      <c r="E108" s="137">
        <v>37117</v>
      </c>
      <c r="F108" s="172" t="str">
        <f t="shared" si="5"/>
        <v>2001-02</v>
      </c>
      <c r="H108" s="173" t="s">
        <v>190</v>
      </c>
      <c r="I108" s="174">
        <v>25184.239534746859</v>
      </c>
      <c r="J108" s="168">
        <f>IF(E108&lt;DATE(2016,1,1),IF(OR(M108="metres",M108="pipe"),INDEX('Scheme cost allocation'!$D$21:$D$42,MATCH(IF(MONTH(E108)&lt;7,YEAR(E108),YEAR(E108)+1),'Scheme cost allocation'!$C$21:$C$42,0))*'Scheme cost allocation'!$J$21,'Scheme cost allocation'!$J$21),'Scheme cost allocation'!$J$21)</f>
        <v>0.90850599752846017</v>
      </c>
      <c r="K108" s="47"/>
      <c r="L108" s="169">
        <v>39.525252799199997</v>
      </c>
      <c r="M108" s="175" t="s">
        <v>191</v>
      </c>
      <c r="N108" s="169">
        <v>15688.759778124509</v>
      </c>
      <c r="O108" s="143">
        <f t="shared" si="3"/>
        <v>620102.19633629208</v>
      </c>
      <c r="P108" s="144">
        <f t="shared" si="4"/>
        <v>563366.56445209205</v>
      </c>
    </row>
    <row r="109" spans="3:16" x14ac:dyDescent="0.2">
      <c r="C109" s="145"/>
      <c r="D109" s="164" t="s">
        <v>268</v>
      </c>
      <c r="E109" s="137">
        <v>37117</v>
      </c>
      <c r="F109" s="172" t="str">
        <f t="shared" si="5"/>
        <v>2001-02</v>
      </c>
      <c r="H109" s="173" t="s">
        <v>190</v>
      </c>
      <c r="I109" s="174">
        <v>25184.239534746859</v>
      </c>
      <c r="J109" s="168">
        <f>IF(E109&lt;DATE(2016,1,1),IF(OR(M109="metres",M109="pipe"),INDEX('Scheme cost allocation'!$D$21:$D$42,MATCH(IF(MONTH(E109)&lt;7,YEAR(E109),YEAR(E109)+1),'Scheme cost allocation'!$C$21:$C$42,0))*'Scheme cost allocation'!$J$21,'Scheme cost allocation'!$J$21),'Scheme cost allocation'!$J$21)</f>
        <v>0.90850599752846017</v>
      </c>
      <c r="K109" s="47"/>
      <c r="L109" s="169">
        <v>70.956559885999994</v>
      </c>
      <c r="M109" s="175" t="s">
        <v>191</v>
      </c>
      <c r="N109" s="169">
        <v>6259.6719033422014</v>
      </c>
      <c r="O109" s="143">
        <f t="shared" si="3"/>
        <v>444164.78427621251</v>
      </c>
      <c r="P109" s="144">
        <f t="shared" si="4"/>
        <v>403526.37040587375</v>
      </c>
    </row>
    <row r="110" spans="3:16" x14ac:dyDescent="0.2">
      <c r="C110" s="145"/>
      <c r="D110" s="164" t="s">
        <v>268</v>
      </c>
      <c r="E110" s="137">
        <v>37117</v>
      </c>
      <c r="F110" s="172" t="str">
        <f t="shared" si="5"/>
        <v>2001-02</v>
      </c>
      <c r="H110" s="173" t="s">
        <v>190</v>
      </c>
      <c r="I110" s="174">
        <v>25184.239534746859</v>
      </c>
      <c r="J110" s="168">
        <f>IF(E110&lt;DATE(2016,1,1),IF(OR(M110="metres",M110="pipe"),INDEX('Scheme cost allocation'!$D$21:$D$42,MATCH(IF(MONTH(E110)&lt;7,YEAR(E110),YEAR(E110)+1),'Scheme cost allocation'!$C$21:$C$42,0))*'Scheme cost allocation'!$J$21,'Scheme cost allocation'!$J$21),'Scheme cost allocation'!$J$21)</f>
        <v>0.90850599752846017</v>
      </c>
      <c r="K110" s="47"/>
      <c r="L110" s="169">
        <v>73.122866276799996</v>
      </c>
      <c r="M110" s="175" t="s">
        <v>191</v>
      </c>
      <c r="N110" s="169">
        <v>6259.6719033422005</v>
      </c>
      <c r="O110" s="143">
        <f t="shared" si="3"/>
        <v>457725.15152473381</v>
      </c>
      <c r="P110" s="144">
        <f t="shared" si="4"/>
        <v>415846.04537984385</v>
      </c>
    </row>
    <row r="111" spans="3:16" x14ac:dyDescent="0.2">
      <c r="C111" s="145"/>
      <c r="D111" s="164" t="s">
        <v>268</v>
      </c>
      <c r="E111" s="137">
        <v>37117</v>
      </c>
      <c r="F111" s="172" t="str">
        <f t="shared" si="5"/>
        <v>2001-02</v>
      </c>
      <c r="H111" s="173" t="s">
        <v>190</v>
      </c>
      <c r="I111" s="174">
        <v>25184.239534746859</v>
      </c>
      <c r="J111" s="168">
        <f>IF(E111&lt;DATE(2016,1,1),IF(OR(M111="metres",M111="pipe"),INDEX('Scheme cost allocation'!$D$21:$D$42,MATCH(IF(MONTH(E111)&lt;7,YEAR(E111),YEAR(E111)+1),'Scheme cost allocation'!$C$21:$C$42,0))*'Scheme cost allocation'!$J$21,'Scheme cost allocation'!$J$21),'Scheme cost allocation'!$J$21)</f>
        <v>0.90850599752846017</v>
      </c>
      <c r="K111" s="47"/>
      <c r="L111" s="169">
        <v>71.950401119399999</v>
      </c>
      <c r="M111" s="175" t="s">
        <v>191</v>
      </c>
      <c r="N111" s="169">
        <v>6259.6719033422005</v>
      </c>
      <c r="O111" s="143">
        <f t="shared" si="3"/>
        <v>450385.90432130935</v>
      </c>
      <c r="P111" s="144">
        <f t="shared" si="4"/>
        <v>409178.29527818877</v>
      </c>
    </row>
    <row r="112" spans="3:16" x14ac:dyDescent="0.2">
      <c r="C112" s="145"/>
      <c r="D112" s="164" t="s">
        <v>268</v>
      </c>
      <c r="E112" s="137">
        <v>37117</v>
      </c>
      <c r="F112" s="172" t="str">
        <f t="shared" si="5"/>
        <v>2001-02</v>
      </c>
      <c r="H112" s="173" t="s">
        <v>190</v>
      </c>
      <c r="I112" s="174">
        <v>25184.239534746859</v>
      </c>
      <c r="J112" s="168">
        <f>IF(E112&lt;DATE(2016,1,1),IF(OR(M112="metres",M112="pipe"),INDEX('Scheme cost allocation'!$D$21:$D$42,MATCH(IF(MONTH(E112)&lt;7,YEAR(E112),YEAR(E112)+1),'Scheme cost allocation'!$C$21:$C$42,0))*'Scheme cost allocation'!$J$21,'Scheme cost allocation'!$J$21),'Scheme cost allocation'!$J$21)</f>
        <v>0.90850599752846017</v>
      </c>
      <c r="K112" s="47"/>
      <c r="L112" s="169">
        <v>74.113942280000003</v>
      </c>
      <c r="M112" s="175" t="s">
        <v>191</v>
      </c>
      <c r="N112" s="169">
        <v>6259.6719033422005</v>
      </c>
      <c r="O112" s="143">
        <f t="shared" si="3"/>
        <v>463928.96213604161</v>
      </c>
      <c r="P112" s="144">
        <f t="shared" si="4"/>
        <v>421482.24452774768</v>
      </c>
    </row>
    <row r="113" spans="3:16" x14ac:dyDescent="0.2">
      <c r="C113" s="145"/>
      <c r="D113" s="164" t="s">
        <v>273</v>
      </c>
      <c r="E113" s="137">
        <v>37117</v>
      </c>
      <c r="F113" s="172" t="str">
        <f t="shared" si="5"/>
        <v>2001-02</v>
      </c>
      <c r="H113" s="173" t="s">
        <v>190</v>
      </c>
      <c r="I113" s="174">
        <v>25184.239534746859</v>
      </c>
      <c r="J113" s="168">
        <f>IF(E113&lt;DATE(2016,1,1),IF(OR(M113="metres",M113="pipe"),INDEX('Scheme cost allocation'!$D$21:$D$42,MATCH(IF(MONTH(E113)&lt;7,YEAR(E113),YEAR(E113)+1),'Scheme cost allocation'!$C$21:$C$42,0))*'Scheme cost allocation'!$J$21,'Scheme cost allocation'!$J$21),'Scheme cost allocation'!$J$21)</f>
        <v>0.90850599752846017</v>
      </c>
      <c r="K113" s="47"/>
      <c r="L113" s="169">
        <v>81.4818737696</v>
      </c>
      <c r="M113" s="175" t="s">
        <v>191</v>
      </c>
      <c r="N113" s="169">
        <v>3311.0720454785619</v>
      </c>
      <c r="O113" s="143">
        <f t="shared" si="3"/>
        <v>269792.35445173545</v>
      </c>
      <c r="P113" s="144">
        <f t="shared" si="4"/>
        <v>245107.97210672582</v>
      </c>
    </row>
    <row r="114" spans="3:16" x14ac:dyDescent="0.2">
      <c r="C114" s="145"/>
      <c r="D114" s="164" t="s">
        <v>215</v>
      </c>
      <c r="E114" s="137">
        <v>37117</v>
      </c>
      <c r="F114" s="172" t="str">
        <f t="shared" si="5"/>
        <v>2001-02</v>
      </c>
      <c r="H114" s="173" t="s">
        <v>190</v>
      </c>
      <c r="I114" s="174">
        <v>25184.239534746859</v>
      </c>
      <c r="J114" s="168">
        <f>IF(E114&lt;DATE(2016,1,1),IF(OR(M114="metres",M114="pipe"),INDEX('Scheme cost allocation'!$D$21:$D$42,MATCH(IF(MONTH(E114)&lt;7,YEAR(E114),YEAR(E114)+1),'Scheme cost allocation'!$C$21:$C$42,0))*'Scheme cost allocation'!$J$21,'Scheme cost allocation'!$J$21),'Scheme cost allocation'!$J$21)</f>
        <v>0.90850599752846017</v>
      </c>
      <c r="K114" s="47"/>
      <c r="L114" s="169">
        <v>49.126667658199999</v>
      </c>
      <c r="M114" s="175" t="s">
        <v>191</v>
      </c>
      <c r="N114" s="169">
        <v>5553.7670880991827</v>
      </c>
      <c r="O114" s="143">
        <f t="shared" si="3"/>
        <v>272838.0699880977</v>
      </c>
      <c r="P114" s="144">
        <f t="shared" si="4"/>
        <v>247875.02293827652</v>
      </c>
    </row>
    <row r="115" spans="3:16" x14ac:dyDescent="0.2">
      <c r="C115" s="145"/>
      <c r="D115" s="164" t="s">
        <v>215</v>
      </c>
      <c r="E115" s="137">
        <v>37117</v>
      </c>
      <c r="F115" s="172" t="str">
        <f t="shared" si="5"/>
        <v>2001-02</v>
      </c>
      <c r="H115" s="173" t="s">
        <v>190</v>
      </c>
      <c r="I115" s="174">
        <v>25184.239534746859</v>
      </c>
      <c r="J115" s="168">
        <f>IF(E115&lt;DATE(2016,1,1),IF(OR(M115="metres",M115="pipe"),INDEX('Scheme cost allocation'!$D$21:$D$42,MATCH(IF(MONTH(E115)&lt;7,YEAR(E115),YEAR(E115)+1),'Scheme cost allocation'!$C$21:$C$42,0))*'Scheme cost allocation'!$J$21,'Scheme cost allocation'!$J$21),'Scheme cost allocation'!$J$21)</f>
        <v>0.90850599752846017</v>
      </c>
      <c r="K115" s="47"/>
      <c r="L115" s="169">
        <v>7.63917181375</v>
      </c>
      <c r="M115" s="175" t="s">
        <v>191</v>
      </c>
      <c r="N115" s="169">
        <v>5553.7670880991827</v>
      </c>
      <c r="O115" s="143">
        <f t="shared" si="3"/>
        <v>42426.180999539691</v>
      </c>
      <c r="P115" s="144">
        <f t="shared" si="4"/>
        <v>38544.439890309812</v>
      </c>
    </row>
    <row r="116" spans="3:16" x14ac:dyDescent="0.2">
      <c r="C116" s="145"/>
      <c r="D116" s="164" t="s">
        <v>215</v>
      </c>
      <c r="E116" s="137">
        <v>37117</v>
      </c>
      <c r="F116" s="172" t="str">
        <f t="shared" si="5"/>
        <v>2001-02</v>
      </c>
      <c r="H116" s="173" t="s">
        <v>190</v>
      </c>
      <c r="I116" s="174">
        <v>25184.239534746859</v>
      </c>
      <c r="J116" s="168">
        <f>IF(E116&lt;DATE(2016,1,1),IF(OR(M116="metres",M116="pipe"),INDEX('Scheme cost allocation'!$D$21:$D$42,MATCH(IF(MONTH(E116)&lt;7,YEAR(E116),YEAR(E116)+1),'Scheme cost allocation'!$C$21:$C$42,0))*'Scheme cost allocation'!$J$21,'Scheme cost allocation'!$J$21),'Scheme cost allocation'!$J$21)</f>
        <v>0.90850599752846017</v>
      </c>
      <c r="K116" s="47"/>
      <c r="L116" s="169">
        <v>43.099818872900002</v>
      </c>
      <c r="M116" s="175" t="s">
        <v>191</v>
      </c>
      <c r="N116" s="169">
        <v>5553.7670880991827</v>
      </c>
      <c r="O116" s="143">
        <f t="shared" si="3"/>
        <v>239366.35555934804</v>
      </c>
      <c r="P116" s="144">
        <f t="shared" si="4"/>
        <v>217465.76963219757</v>
      </c>
    </row>
    <row r="117" spans="3:16" x14ac:dyDescent="0.2">
      <c r="C117" s="145"/>
      <c r="D117" s="164" t="s">
        <v>270</v>
      </c>
      <c r="E117" s="137">
        <v>37117</v>
      </c>
      <c r="F117" s="172" t="str">
        <f t="shared" si="5"/>
        <v>2001-02</v>
      </c>
      <c r="H117" s="173" t="s">
        <v>190</v>
      </c>
      <c r="I117" s="174">
        <v>25184.239534746859</v>
      </c>
      <c r="J117" s="168">
        <f>IF(E117&lt;DATE(2016,1,1),IF(OR(M117="metres",M117="pipe"),INDEX('Scheme cost allocation'!$D$21:$D$42,MATCH(IF(MONTH(E117)&lt;7,YEAR(E117),YEAR(E117)+1),'Scheme cost allocation'!$C$21:$C$42,0))*'Scheme cost allocation'!$J$21,'Scheme cost allocation'!$J$21),'Scheme cost allocation'!$J$21)</f>
        <v>0.90850599752846017</v>
      </c>
      <c r="K117" s="47"/>
      <c r="L117" s="169">
        <v>30.344127997499999</v>
      </c>
      <c r="M117" s="175" t="s">
        <v>191</v>
      </c>
      <c r="N117" s="169">
        <v>15688.759778124509</v>
      </c>
      <c r="O117" s="143">
        <f t="shared" si="3"/>
        <v>476061.73482943978</v>
      </c>
      <c r="P117" s="144">
        <f t="shared" si="4"/>
        <v>432504.94128634949</v>
      </c>
    </row>
    <row r="118" spans="3:16" x14ac:dyDescent="0.2">
      <c r="C118" s="145"/>
      <c r="D118" s="164" t="s">
        <v>270</v>
      </c>
      <c r="E118" s="137">
        <v>37117</v>
      </c>
      <c r="F118" s="172" t="str">
        <f t="shared" si="5"/>
        <v>2001-02</v>
      </c>
      <c r="H118" s="173" t="s">
        <v>190</v>
      </c>
      <c r="I118" s="174">
        <v>25184.239534746859</v>
      </c>
      <c r="J118" s="168">
        <f>IF(E118&lt;DATE(2016,1,1),IF(OR(M118="metres",M118="pipe"),INDEX('Scheme cost allocation'!$D$21:$D$42,MATCH(IF(MONTH(E118)&lt;7,YEAR(E118),YEAR(E118)+1),'Scheme cost allocation'!$C$21:$C$42,0))*'Scheme cost allocation'!$J$21,'Scheme cost allocation'!$J$21),'Scheme cost allocation'!$J$21)</f>
        <v>0.90850599752846017</v>
      </c>
      <c r="K118" s="47"/>
      <c r="L118" s="169">
        <v>30.5834580985</v>
      </c>
      <c r="M118" s="175" t="s">
        <v>191</v>
      </c>
      <c r="N118" s="169">
        <v>15688.759778124508</v>
      </c>
      <c r="O118" s="143">
        <f t="shared" si="3"/>
        <v>479816.52729170304</v>
      </c>
      <c r="P118" s="144">
        <f t="shared" si="4"/>
        <v>435916.19275779033</v>
      </c>
    </row>
    <row r="119" spans="3:16" x14ac:dyDescent="0.2">
      <c r="C119" s="145"/>
      <c r="D119" s="164" t="s">
        <v>262</v>
      </c>
      <c r="E119" s="137">
        <v>37117</v>
      </c>
      <c r="F119" s="172" t="str">
        <f t="shared" si="5"/>
        <v>2001-02</v>
      </c>
      <c r="H119" s="173" t="s">
        <v>190</v>
      </c>
      <c r="I119" s="174">
        <v>25184.239534746859</v>
      </c>
      <c r="J119" s="168">
        <f>IF(E119&lt;DATE(2016,1,1),IF(OR(M119="metres",M119="pipe"),INDEX('Scheme cost allocation'!$D$21:$D$42,MATCH(IF(MONTH(E119)&lt;7,YEAR(E119),YEAR(E119)+1),'Scheme cost allocation'!$C$21:$C$42,0))*'Scheme cost allocation'!$J$21,'Scheme cost allocation'!$J$21),'Scheme cost allocation'!$J$21)</f>
        <v>0.90850599752846017</v>
      </c>
      <c r="K119" s="47"/>
      <c r="L119" s="169">
        <v>74.951167195099998</v>
      </c>
      <c r="M119" s="175" t="s">
        <v>191</v>
      </c>
      <c r="N119" s="169">
        <v>9378.7012439569371</v>
      </c>
      <c r="O119" s="143">
        <f t="shared" si="3"/>
        <v>702944.60500870878</v>
      </c>
      <c r="P119" s="144">
        <f t="shared" si="4"/>
        <v>638629.38958068634</v>
      </c>
    </row>
    <row r="120" spans="3:16" x14ac:dyDescent="0.2">
      <c r="C120" s="145"/>
      <c r="D120" s="164" t="s">
        <v>262</v>
      </c>
      <c r="E120" s="137">
        <v>37117</v>
      </c>
      <c r="F120" s="172" t="str">
        <f t="shared" si="5"/>
        <v>2001-02</v>
      </c>
      <c r="H120" s="173" t="s">
        <v>190</v>
      </c>
      <c r="I120" s="174">
        <v>25184.239534746859</v>
      </c>
      <c r="J120" s="168">
        <f>IF(E120&lt;DATE(2016,1,1),IF(OR(M120="metres",M120="pipe"),INDEX('Scheme cost allocation'!$D$21:$D$42,MATCH(IF(MONTH(E120)&lt;7,YEAR(E120),YEAR(E120)+1),'Scheme cost allocation'!$C$21:$C$42,0))*'Scheme cost allocation'!$J$21,'Scheme cost allocation'!$J$21),'Scheme cost allocation'!$J$21)</f>
        <v>0.90850599752846017</v>
      </c>
      <c r="K120" s="47"/>
      <c r="L120" s="169">
        <v>77.097373470899996</v>
      </c>
      <c r="M120" s="175" t="s">
        <v>191</v>
      </c>
      <c r="N120" s="169">
        <v>9378.7012439569353</v>
      </c>
      <c r="O120" s="143">
        <f t="shared" si="3"/>
        <v>723073.23247734224</v>
      </c>
      <c r="P120" s="144">
        <f t="shared" si="4"/>
        <v>656916.36835795594</v>
      </c>
    </row>
    <row r="121" spans="3:16" x14ac:dyDescent="0.2">
      <c r="C121" s="145"/>
      <c r="D121" s="164" t="s">
        <v>268</v>
      </c>
      <c r="E121" s="137">
        <v>37117</v>
      </c>
      <c r="F121" s="172" t="str">
        <f t="shared" si="5"/>
        <v>2001-02</v>
      </c>
      <c r="H121" s="173" t="s">
        <v>190</v>
      </c>
      <c r="I121" s="174">
        <v>25184.239534746859</v>
      </c>
      <c r="J121" s="168">
        <f>IF(E121&lt;DATE(2016,1,1),IF(OR(M121="metres",M121="pipe"),INDEX('Scheme cost allocation'!$D$21:$D$42,MATCH(IF(MONTH(E121)&lt;7,YEAR(E121),YEAR(E121)+1),'Scheme cost allocation'!$C$21:$C$42,0))*'Scheme cost allocation'!$J$21,'Scheme cost allocation'!$J$21),'Scheme cost allocation'!$J$21)</f>
        <v>0.90850599752846017</v>
      </c>
      <c r="K121" s="47"/>
      <c r="L121" s="169">
        <v>67.549774852100001</v>
      </c>
      <c r="M121" s="175" t="s">
        <v>191</v>
      </c>
      <c r="N121" s="169">
        <v>6259.6719033422005</v>
      </c>
      <c r="O121" s="143">
        <f t="shared" si="3"/>
        <v>422839.42771878192</v>
      </c>
      <c r="P121" s="144">
        <f t="shared" si="4"/>
        <v>384152.15607401519</v>
      </c>
    </row>
    <row r="122" spans="3:16" x14ac:dyDescent="0.2">
      <c r="C122" s="145"/>
      <c r="D122" s="164" t="s">
        <v>268</v>
      </c>
      <c r="E122" s="137">
        <v>37117</v>
      </c>
      <c r="F122" s="172" t="str">
        <f t="shared" si="5"/>
        <v>2001-02</v>
      </c>
      <c r="H122" s="173" t="s">
        <v>190</v>
      </c>
      <c r="I122" s="174">
        <v>25184.239534746859</v>
      </c>
      <c r="J122" s="168">
        <f>IF(E122&lt;DATE(2016,1,1),IF(OR(M122="metres",M122="pipe"),INDEX('Scheme cost allocation'!$D$21:$D$42,MATCH(IF(MONTH(E122)&lt;7,YEAR(E122),YEAR(E122)+1),'Scheme cost allocation'!$C$21:$C$42,0))*'Scheme cost allocation'!$J$21,'Scheme cost allocation'!$J$21),'Scheme cost allocation'!$J$21)</f>
        <v>0.90850599752846017</v>
      </c>
      <c r="K122" s="47"/>
      <c r="L122" s="169">
        <v>69.579474518699996</v>
      </c>
      <c r="M122" s="175" t="s">
        <v>191</v>
      </c>
      <c r="N122" s="169">
        <v>6259.6719033422014</v>
      </c>
      <c r="O122" s="143">
        <f t="shared" si="3"/>
        <v>435544.68169402098</v>
      </c>
      <c r="P122" s="144">
        <f t="shared" si="4"/>
        <v>395694.9555106422</v>
      </c>
    </row>
    <row r="123" spans="3:16" x14ac:dyDescent="0.2">
      <c r="C123" s="145"/>
      <c r="D123" s="164" t="s">
        <v>215</v>
      </c>
      <c r="E123" s="137">
        <v>37117</v>
      </c>
      <c r="F123" s="172" t="str">
        <f t="shared" si="5"/>
        <v>2001-02</v>
      </c>
      <c r="H123" s="173" t="s">
        <v>190</v>
      </c>
      <c r="I123" s="174">
        <v>25184.239534746859</v>
      </c>
      <c r="J123" s="168">
        <f>IF(E123&lt;DATE(2016,1,1),IF(OR(M123="metres",M123="pipe"),INDEX('Scheme cost allocation'!$D$21:$D$42,MATCH(IF(MONTH(E123)&lt;7,YEAR(E123),YEAR(E123)+1),'Scheme cost allocation'!$C$21:$C$42,0))*'Scheme cost allocation'!$J$21,'Scheme cost allocation'!$J$21),'Scheme cost allocation'!$J$21)</f>
        <v>0.90850599752846017</v>
      </c>
      <c r="K123" s="47"/>
      <c r="L123" s="169">
        <v>38.657632902800003</v>
      </c>
      <c r="M123" s="175" t="s">
        <v>191</v>
      </c>
      <c r="N123" s="169">
        <v>5553.7670880991827</v>
      </c>
      <c r="O123" s="143">
        <f t="shared" si="3"/>
        <v>214695.48931939073</v>
      </c>
      <c r="P123" s="144">
        <f t="shared" si="4"/>
        <v>195052.13968897396</v>
      </c>
    </row>
    <row r="124" spans="3:16" x14ac:dyDescent="0.2">
      <c r="C124" s="145"/>
      <c r="D124" s="164" t="s">
        <v>193</v>
      </c>
      <c r="E124" s="137">
        <v>37117</v>
      </c>
      <c r="F124" s="172" t="str">
        <f t="shared" si="5"/>
        <v>2001-02</v>
      </c>
      <c r="H124" s="173" t="s">
        <v>190</v>
      </c>
      <c r="I124" s="174">
        <v>25184.239534746859</v>
      </c>
      <c r="J124" s="168">
        <f>IF(E124&lt;DATE(2016,1,1),IF(OR(M124="metres",M124="pipe"),INDEX('Scheme cost allocation'!$D$21:$D$42,MATCH(IF(MONTH(E124)&lt;7,YEAR(E124),YEAR(E124)+1),'Scheme cost allocation'!$C$21:$C$42,0))*'Scheme cost allocation'!$J$21,'Scheme cost allocation'!$J$21),'Scheme cost allocation'!$J$21)</f>
        <v>0.90850599752846017</v>
      </c>
      <c r="K124" s="47"/>
      <c r="L124" s="169">
        <v>21.7061962306</v>
      </c>
      <c r="M124" s="175" t="s">
        <v>191</v>
      </c>
      <c r="N124" s="169">
        <v>14279.156437205202</v>
      </c>
      <c r="O124" s="143">
        <f t="shared" si="3"/>
        <v>309946.17163341126</v>
      </c>
      <c r="P124" s="144">
        <f t="shared" si="4"/>
        <v>281587.95583993965</v>
      </c>
    </row>
    <row r="125" spans="3:16" x14ac:dyDescent="0.2">
      <c r="C125" s="145"/>
      <c r="D125" s="164" t="s">
        <v>269</v>
      </c>
      <c r="E125" s="137">
        <v>37117</v>
      </c>
      <c r="F125" s="172" t="str">
        <f t="shared" si="5"/>
        <v>2001-02</v>
      </c>
      <c r="H125" s="173" t="s">
        <v>190</v>
      </c>
      <c r="I125" s="174">
        <v>25184.239534746859</v>
      </c>
      <c r="J125" s="168">
        <f>IF(E125&lt;DATE(2016,1,1),IF(OR(M125="metres",M125="pipe"),INDEX('Scheme cost allocation'!$D$21:$D$42,MATCH(IF(MONTH(E125)&lt;7,YEAR(E125),YEAR(E125)+1),'Scheme cost allocation'!$C$21:$C$42,0))*'Scheme cost allocation'!$J$21,'Scheme cost allocation'!$J$21),'Scheme cost allocation'!$J$21)</f>
        <v>0.90850599752846017</v>
      </c>
      <c r="K125" s="47"/>
      <c r="L125" s="169">
        <v>14.718677916800001</v>
      </c>
      <c r="M125" s="175" t="s">
        <v>191</v>
      </c>
      <c r="N125" s="169">
        <v>14279.1564372052</v>
      </c>
      <c r="O125" s="143">
        <f t="shared" si="3"/>
        <v>210170.30452282476</v>
      </c>
      <c r="P125" s="144">
        <f t="shared" si="4"/>
        <v>190940.98216136915</v>
      </c>
    </row>
    <row r="126" spans="3:16" x14ac:dyDescent="0.2">
      <c r="C126" s="145"/>
      <c r="D126" s="164" t="s">
        <v>193</v>
      </c>
      <c r="E126" s="137">
        <v>37117</v>
      </c>
      <c r="F126" s="172" t="str">
        <f t="shared" si="5"/>
        <v>2001-02</v>
      </c>
      <c r="H126" s="173" t="s">
        <v>190</v>
      </c>
      <c r="I126" s="174">
        <v>25184.239534746859</v>
      </c>
      <c r="J126" s="168">
        <f>IF(E126&lt;DATE(2016,1,1),IF(OR(M126="metres",M126="pipe"),INDEX('Scheme cost allocation'!$D$21:$D$42,MATCH(IF(MONTH(E126)&lt;7,YEAR(E126),YEAR(E126)+1),'Scheme cost allocation'!$C$21:$C$42,0))*'Scheme cost allocation'!$J$21,'Scheme cost allocation'!$J$21),'Scheme cost allocation'!$J$21)</f>
        <v>0.90850599752846017</v>
      </c>
      <c r="K126" s="47"/>
      <c r="L126" s="169">
        <v>9.8145881050600003</v>
      </c>
      <c r="M126" s="175" t="s">
        <v>191</v>
      </c>
      <c r="N126" s="169">
        <v>14279.1564372052</v>
      </c>
      <c r="O126" s="143">
        <f t="shared" si="3"/>
        <v>140144.03891888508</v>
      </c>
      <c r="P126" s="144">
        <f t="shared" si="4"/>
        <v>127321.69987566903</v>
      </c>
    </row>
    <row r="127" spans="3:16" x14ac:dyDescent="0.2">
      <c r="C127" s="145"/>
      <c r="D127" s="164" t="s">
        <v>269</v>
      </c>
      <c r="E127" s="137">
        <v>37117</v>
      </c>
      <c r="F127" s="172" t="str">
        <f t="shared" si="5"/>
        <v>2001-02</v>
      </c>
      <c r="H127" s="173" t="s">
        <v>190</v>
      </c>
      <c r="I127" s="174">
        <v>25184.239534746859</v>
      </c>
      <c r="J127" s="168">
        <f>IF(E127&lt;DATE(2016,1,1),IF(OR(M127="metres",M127="pipe"),INDEX('Scheme cost allocation'!$D$21:$D$42,MATCH(IF(MONTH(E127)&lt;7,YEAR(E127),YEAR(E127)+1),'Scheme cost allocation'!$C$21:$C$42,0))*'Scheme cost allocation'!$J$21,'Scheme cost allocation'!$J$21),'Scheme cost allocation'!$J$21)</f>
        <v>0.90850599752846017</v>
      </c>
      <c r="K127" s="47"/>
      <c r="L127" s="169">
        <v>19.156906856799999</v>
      </c>
      <c r="M127" s="175" t="s">
        <v>191</v>
      </c>
      <c r="N127" s="169">
        <v>14279.1564372052</v>
      </c>
      <c r="O127" s="143">
        <f t="shared" si="3"/>
        <v>273544.46986121614</v>
      </c>
      <c r="P127" s="144">
        <f t="shared" si="4"/>
        <v>248516.79145965798</v>
      </c>
    </row>
    <row r="128" spans="3:16" x14ac:dyDescent="0.2">
      <c r="C128" s="145"/>
      <c r="D128" s="164" t="s">
        <v>193</v>
      </c>
      <c r="E128" s="137">
        <v>37117</v>
      </c>
      <c r="F128" s="172" t="str">
        <f t="shared" si="5"/>
        <v>2001-02</v>
      </c>
      <c r="H128" s="173" t="s">
        <v>190</v>
      </c>
      <c r="I128" s="174">
        <v>25184.239534746859</v>
      </c>
      <c r="J128" s="168">
        <f>IF(E128&lt;DATE(2016,1,1),IF(OR(M128="metres",M128="pipe"),INDEX('Scheme cost allocation'!$D$21:$D$42,MATCH(IF(MONTH(E128)&lt;7,YEAR(E128),YEAR(E128)+1),'Scheme cost allocation'!$C$21:$C$42,0))*'Scheme cost allocation'!$J$21,'Scheme cost allocation'!$J$21),'Scheme cost allocation'!$J$21)</f>
        <v>0.90850599752846017</v>
      </c>
      <c r="K128" s="47"/>
      <c r="L128" s="169">
        <v>12.5820603664</v>
      </c>
      <c r="M128" s="175" t="s">
        <v>191</v>
      </c>
      <c r="N128" s="169">
        <v>14279.1564372052</v>
      </c>
      <c r="O128" s="143">
        <f t="shared" si="3"/>
        <v>179661.20827418499</v>
      </c>
      <c r="P128" s="144">
        <f t="shared" si="4"/>
        <v>163223.28524030687</v>
      </c>
    </row>
    <row r="129" spans="3:16" x14ac:dyDescent="0.2">
      <c r="C129" s="145"/>
      <c r="D129" s="164" t="s">
        <v>266</v>
      </c>
      <c r="E129" s="137">
        <v>37117</v>
      </c>
      <c r="F129" s="172" t="str">
        <f t="shared" si="5"/>
        <v>2001-02</v>
      </c>
      <c r="H129" s="173" t="s">
        <v>190</v>
      </c>
      <c r="I129" s="174">
        <v>25184.239534746859</v>
      </c>
      <c r="J129" s="168">
        <f>IF(E129&lt;DATE(2016,1,1),IF(OR(M129="metres",M129="pipe"),INDEX('Scheme cost allocation'!$D$21:$D$42,MATCH(IF(MONTH(E129)&lt;7,YEAR(E129),YEAR(E129)+1),'Scheme cost allocation'!$C$21:$C$42,0))*'Scheme cost allocation'!$J$21,'Scheme cost allocation'!$J$21),'Scheme cost allocation'!$J$21)</f>
        <v>0.90850599752846017</v>
      </c>
      <c r="K129" s="47"/>
      <c r="L129" s="169">
        <v>2.9676586332600001</v>
      </c>
      <c r="M129" s="175" t="s">
        <v>191</v>
      </c>
      <c r="N129" s="169">
        <v>12966.37604268715</v>
      </c>
      <c r="O129" s="143">
        <f t="shared" si="3"/>
        <v>38479.777805176156</v>
      </c>
      <c r="P129" s="144">
        <f t="shared" si="4"/>
        <v>34959.108919565064</v>
      </c>
    </row>
    <row r="130" spans="3:16" x14ac:dyDescent="0.2">
      <c r="C130" s="145"/>
      <c r="D130" s="164" t="s">
        <v>266</v>
      </c>
      <c r="E130" s="137">
        <v>37117</v>
      </c>
      <c r="F130" s="172" t="str">
        <f t="shared" si="5"/>
        <v>2001-02</v>
      </c>
      <c r="H130" s="173" t="s">
        <v>190</v>
      </c>
      <c r="I130" s="174">
        <v>25184.239534746859</v>
      </c>
      <c r="J130" s="168">
        <f>IF(E130&lt;DATE(2016,1,1),IF(OR(M130="metres",M130="pipe"),INDEX('Scheme cost allocation'!$D$21:$D$42,MATCH(IF(MONTH(E130)&lt;7,YEAR(E130),YEAR(E130)+1),'Scheme cost allocation'!$C$21:$C$42,0))*'Scheme cost allocation'!$J$21,'Scheme cost allocation'!$J$21),'Scheme cost allocation'!$J$21)</f>
        <v>0.90850599752846017</v>
      </c>
      <c r="K130" s="47"/>
      <c r="L130" s="169">
        <v>22.986814238200001</v>
      </c>
      <c r="M130" s="175" t="s">
        <v>191</v>
      </c>
      <c r="N130" s="169">
        <v>12966.37604268715</v>
      </c>
      <c r="O130" s="143">
        <f t="shared" si="3"/>
        <v>298055.67743589636</v>
      </c>
      <c r="P130" s="144">
        <f t="shared" si="4"/>
        <v>270785.37054792</v>
      </c>
    </row>
    <row r="131" spans="3:16" x14ac:dyDescent="0.2">
      <c r="C131" s="145"/>
      <c r="D131" s="164" t="s">
        <v>248</v>
      </c>
      <c r="E131" s="137">
        <v>37257</v>
      </c>
      <c r="F131" s="172" t="str">
        <f t="shared" si="5"/>
        <v>2001-02</v>
      </c>
      <c r="H131" s="173" t="s">
        <v>190</v>
      </c>
      <c r="I131" s="174">
        <v>25184.239534746859</v>
      </c>
      <c r="J131" s="168">
        <f>IF(E131&lt;DATE(2016,1,1),IF(OR(M131="metres",M131="pipe"),INDEX('Scheme cost allocation'!$D$21:$D$42,MATCH(IF(MONTH(E131)&lt;7,YEAR(E131),YEAR(E131)+1),'Scheme cost allocation'!$C$21:$C$42,0))*'Scheme cost allocation'!$J$21,'Scheme cost allocation'!$J$21),'Scheme cost allocation'!$J$21)</f>
        <v>0.90850599752846017</v>
      </c>
      <c r="K131" s="47"/>
      <c r="L131" s="169">
        <v>27.4575256169</v>
      </c>
      <c r="M131" s="175" t="s">
        <v>191</v>
      </c>
      <c r="N131" s="169">
        <v>3091.2571944145911</v>
      </c>
      <c r="O131" s="143">
        <f t="shared" si="3"/>
        <v>84878.273604065063</v>
      </c>
      <c r="P131" s="144">
        <f t="shared" si="4"/>
        <v>77112.420629154702</v>
      </c>
    </row>
    <row r="132" spans="3:16" x14ac:dyDescent="0.2">
      <c r="C132" s="145"/>
      <c r="D132" s="164" t="s">
        <v>248</v>
      </c>
      <c r="E132" s="137">
        <v>37257</v>
      </c>
      <c r="F132" s="172" t="str">
        <f t="shared" si="5"/>
        <v>2001-02</v>
      </c>
      <c r="H132" s="173" t="s">
        <v>190</v>
      </c>
      <c r="I132" s="174">
        <v>25184.239534746859</v>
      </c>
      <c r="J132" s="168">
        <f>IF(E132&lt;DATE(2016,1,1),IF(OR(M132="metres",M132="pipe"),INDEX('Scheme cost allocation'!$D$21:$D$42,MATCH(IF(MONTH(E132)&lt;7,YEAR(E132),YEAR(E132)+1),'Scheme cost allocation'!$C$21:$C$42,0))*'Scheme cost allocation'!$J$21,'Scheme cost allocation'!$J$21),'Scheme cost allocation'!$J$21)</f>
        <v>0.90850599752846017</v>
      </c>
      <c r="K132" s="47"/>
      <c r="L132" s="169">
        <v>35.829681508500002</v>
      </c>
      <c r="M132" s="175" t="s">
        <v>191</v>
      </c>
      <c r="N132" s="169">
        <v>3091.2571944145911</v>
      </c>
      <c r="O132" s="143">
        <f t="shared" si="3"/>
        <v>110758.76073673407</v>
      </c>
      <c r="P132" s="144">
        <f t="shared" si="4"/>
        <v>100624.99840814264</v>
      </c>
    </row>
    <row r="133" spans="3:16" x14ac:dyDescent="0.2">
      <c r="C133" s="145"/>
      <c r="D133" s="164" t="s">
        <v>248</v>
      </c>
      <c r="E133" s="137">
        <v>37257</v>
      </c>
      <c r="F133" s="172" t="str">
        <f t="shared" si="5"/>
        <v>2001-02</v>
      </c>
      <c r="H133" s="173" t="s">
        <v>190</v>
      </c>
      <c r="I133" s="174">
        <v>25184.239534746859</v>
      </c>
      <c r="J133" s="168">
        <f>IF(E133&lt;DATE(2016,1,1),IF(OR(M133="metres",M133="pipe"),INDEX('Scheme cost allocation'!$D$21:$D$42,MATCH(IF(MONTH(E133)&lt;7,YEAR(E133),YEAR(E133)+1),'Scheme cost allocation'!$C$21:$C$42,0))*'Scheme cost allocation'!$J$21,'Scheme cost allocation'!$J$21),'Scheme cost allocation'!$J$21)</f>
        <v>0.90850599752846017</v>
      </c>
      <c r="K133" s="47"/>
      <c r="L133" s="169">
        <v>35.403264397500003</v>
      </c>
      <c r="M133" s="175" t="s">
        <v>191</v>
      </c>
      <c r="N133" s="169">
        <v>3091.2571944145907</v>
      </c>
      <c r="O133" s="143">
        <f t="shared" si="3"/>
        <v>109440.59577453382</v>
      </c>
      <c r="P133" s="144">
        <f t="shared" si="4"/>
        <v>99427.437634251837</v>
      </c>
    </row>
    <row r="134" spans="3:16" x14ac:dyDescent="0.2">
      <c r="C134" s="145"/>
      <c r="D134" s="164" t="s">
        <v>248</v>
      </c>
      <c r="E134" s="137">
        <v>37257</v>
      </c>
      <c r="F134" s="172" t="str">
        <f t="shared" si="5"/>
        <v>2001-02</v>
      </c>
      <c r="H134" s="173" t="s">
        <v>190</v>
      </c>
      <c r="I134" s="174">
        <v>25184.239534746859</v>
      </c>
      <c r="J134" s="168">
        <f>IF(E134&lt;DATE(2016,1,1),IF(OR(M134="metres",M134="pipe"),INDEX('Scheme cost allocation'!$D$21:$D$42,MATCH(IF(MONTH(E134)&lt;7,YEAR(E134),YEAR(E134)+1),'Scheme cost allocation'!$C$21:$C$42,0))*'Scheme cost allocation'!$J$21,'Scheme cost allocation'!$J$21),'Scheme cost allocation'!$J$21)</f>
        <v>0.90850599752846017</v>
      </c>
      <c r="K134" s="47"/>
      <c r="L134" s="169">
        <v>47.6873946133</v>
      </c>
      <c r="M134" s="175" t="s">
        <v>191</v>
      </c>
      <c r="N134" s="169">
        <v>3091.2571944145907</v>
      </c>
      <c r="O134" s="143">
        <f t="shared" si="3"/>
        <v>147414.00168125122</v>
      </c>
      <c r="P134" s="144">
        <f t="shared" si="4"/>
        <v>133926.50464708725</v>
      </c>
    </row>
    <row r="135" spans="3:16" x14ac:dyDescent="0.2">
      <c r="C135" s="145"/>
      <c r="D135" s="164" t="s">
        <v>248</v>
      </c>
      <c r="E135" s="137">
        <v>37257</v>
      </c>
      <c r="F135" s="172" t="str">
        <f t="shared" si="5"/>
        <v>2001-02</v>
      </c>
      <c r="H135" s="173" t="s">
        <v>190</v>
      </c>
      <c r="I135" s="174">
        <v>25184.239534746859</v>
      </c>
      <c r="J135" s="168">
        <f>IF(E135&lt;DATE(2016,1,1),IF(OR(M135="metres",M135="pipe"),INDEX('Scheme cost allocation'!$D$21:$D$42,MATCH(IF(MONTH(E135)&lt;7,YEAR(E135),YEAR(E135)+1),'Scheme cost allocation'!$C$21:$C$42,0))*'Scheme cost allocation'!$J$21,'Scheme cost allocation'!$J$21),'Scheme cost allocation'!$J$21)</f>
        <v>0.90850599752846017</v>
      </c>
      <c r="K135" s="47"/>
      <c r="L135" s="169">
        <v>55.465718178000003</v>
      </c>
      <c r="M135" s="175" t="s">
        <v>191</v>
      </c>
      <c r="N135" s="169">
        <v>3091.2571944145911</v>
      </c>
      <c r="O135" s="143">
        <f t="shared" si="3"/>
        <v>171458.80036111467</v>
      </c>
      <c r="P135" s="144">
        <f t="shared" si="4"/>
        <v>155771.34845710758</v>
      </c>
    </row>
    <row r="136" spans="3:16" x14ac:dyDescent="0.2">
      <c r="C136" s="145"/>
      <c r="D136" s="164" t="s">
        <v>248</v>
      </c>
      <c r="E136" s="137">
        <v>37257</v>
      </c>
      <c r="F136" s="172" t="str">
        <f t="shared" si="5"/>
        <v>2001-02</v>
      </c>
      <c r="H136" s="173" t="s">
        <v>190</v>
      </c>
      <c r="I136" s="174">
        <v>25184.239534746859</v>
      </c>
      <c r="J136" s="168">
        <f>IF(E136&lt;DATE(2016,1,1),IF(OR(M136="metres",M136="pipe"),INDEX('Scheme cost allocation'!$D$21:$D$42,MATCH(IF(MONTH(E136)&lt;7,YEAR(E136),YEAR(E136)+1),'Scheme cost allocation'!$C$21:$C$42,0))*'Scheme cost allocation'!$J$21,'Scheme cost allocation'!$J$21),'Scheme cost allocation'!$J$21)</f>
        <v>0.90850599752846017</v>
      </c>
      <c r="K136" s="47"/>
      <c r="L136" s="169">
        <v>46.279138475099998</v>
      </c>
      <c r="M136" s="175" t="s">
        <v>191</v>
      </c>
      <c r="N136" s="169">
        <v>3091.2571944145911</v>
      </c>
      <c r="O136" s="143">
        <f t="shared" si="3"/>
        <v>143060.71976246199</v>
      </c>
      <c r="P136" s="144">
        <f t="shared" si="4"/>
        <v>129971.52191493503</v>
      </c>
    </row>
    <row r="137" spans="3:16" x14ac:dyDescent="0.2">
      <c r="C137" s="145"/>
      <c r="D137" s="164" t="s">
        <v>248</v>
      </c>
      <c r="E137" s="137">
        <v>37257</v>
      </c>
      <c r="F137" s="172" t="str">
        <f t="shared" si="5"/>
        <v>2001-02</v>
      </c>
      <c r="H137" s="173" t="s">
        <v>190</v>
      </c>
      <c r="I137" s="174">
        <v>25184.239534746859</v>
      </c>
      <c r="J137" s="168">
        <f>IF(E137&lt;DATE(2016,1,1),IF(OR(M137="metres",M137="pipe"),INDEX('Scheme cost allocation'!$D$21:$D$42,MATCH(IF(MONTH(E137)&lt;7,YEAR(E137),YEAR(E137)+1),'Scheme cost allocation'!$C$21:$C$42,0))*'Scheme cost allocation'!$J$21,'Scheme cost allocation'!$J$21),'Scheme cost allocation'!$J$21)</f>
        <v>0.90850599752846017</v>
      </c>
      <c r="K137" s="47"/>
      <c r="L137" s="169">
        <v>35.328505045500002</v>
      </c>
      <c r="M137" s="175" t="s">
        <v>191</v>
      </c>
      <c r="N137" s="169">
        <v>3091.2571944145907</v>
      </c>
      <c r="O137" s="143">
        <f t="shared" si="3"/>
        <v>109209.49538981405</v>
      </c>
      <c r="P137" s="144">
        <f t="shared" si="4"/>
        <v>99217.481548702781</v>
      </c>
    </row>
    <row r="138" spans="3:16" x14ac:dyDescent="0.2">
      <c r="C138" s="145"/>
      <c r="D138" s="164" t="s">
        <v>248</v>
      </c>
      <c r="E138" s="137">
        <v>37257</v>
      </c>
      <c r="F138" s="172" t="str">
        <f t="shared" si="5"/>
        <v>2001-02</v>
      </c>
      <c r="H138" s="173" t="s">
        <v>190</v>
      </c>
      <c r="I138" s="174">
        <v>25184.239534746859</v>
      </c>
      <c r="J138" s="168">
        <f>IF(E138&lt;DATE(2016,1,1),IF(OR(M138="metres",M138="pipe"),INDEX('Scheme cost allocation'!$D$21:$D$42,MATCH(IF(MONTH(E138)&lt;7,YEAR(E138),YEAR(E138)+1),'Scheme cost allocation'!$C$21:$C$42,0))*'Scheme cost allocation'!$J$21,'Scheme cost allocation'!$J$21),'Scheme cost allocation'!$J$21)</f>
        <v>0.90850599752846017</v>
      </c>
      <c r="K138" s="47"/>
      <c r="L138" s="169">
        <v>29.246922576300001</v>
      </c>
      <c r="M138" s="175" t="s">
        <v>191</v>
      </c>
      <c r="N138" s="169">
        <v>3091.2571944145911</v>
      </c>
      <c r="O138" s="143">
        <f t="shared" si="3"/>
        <v>90409.759828473907</v>
      </c>
      <c r="P138" s="144">
        <f t="shared" si="4"/>
        <v>82137.809039276195</v>
      </c>
    </row>
    <row r="139" spans="3:16" x14ac:dyDescent="0.2">
      <c r="C139" s="145"/>
      <c r="D139" s="164" t="s">
        <v>248</v>
      </c>
      <c r="E139" s="137">
        <v>37257</v>
      </c>
      <c r="F139" s="172" t="str">
        <f t="shared" si="5"/>
        <v>2001-02</v>
      </c>
      <c r="H139" s="173" t="s">
        <v>190</v>
      </c>
      <c r="I139" s="174">
        <v>25184.239534746859</v>
      </c>
      <c r="J139" s="168">
        <f>IF(E139&lt;DATE(2016,1,1),IF(OR(M139="metres",M139="pipe"),INDEX('Scheme cost allocation'!$D$21:$D$42,MATCH(IF(MONTH(E139)&lt;7,YEAR(E139),YEAR(E139)+1),'Scheme cost allocation'!$C$21:$C$42,0))*'Scheme cost allocation'!$J$21,'Scheme cost allocation'!$J$21),'Scheme cost allocation'!$J$21)</f>
        <v>0.90850599752846017</v>
      </c>
      <c r="K139" s="47"/>
      <c r="L139" s="169">
        <v>0.86757835624900004</v>
      </c>
      <c r="M139" s="175" t="s">
        <v>191</v>
      </c>
      <c r="N139" s="169">
        <v>3091.2571944145911</v>
      </c>
      <c r="O139" s="143">
        <f t="shared" si="3"/>
        <v>2681.9078354731064</v>
      </c>
      <c r="P139" s="144">
        <f t="shared" si="4"/>
        <v>2436.529353345888</v>
      </c>
    </row>
    <row r="140" spans="3:16" x14ac:dyDescent="0.2">
      <c r="C140" s="145"/>
      <c r="D140" s="164" t="s">
        <v>248</v>
      </c>
      <c r="E140" s="137">
        <v>37257</v>
      </c>
      <c r="F140" s="172" t="str">
        <f t="shared" si="5"/>
        <v>2001-02</v>
      </c>
      <c r="H140" s="173" t="s">
        <v>190</v>
      </c>
      <c r="I140" s="174">
        <v>25184.239534746859</v>
      </c>
      <c r="J140" s="168">
        <f>IF(E140&lt;DATE(2016,1,1),IF(OR(M140="metres",M140="pipe"),INDEX('Scheme cost allocation'!$D$21:$D$42,MATCH(IF(MONTH(E140)&lt;7,YEAR(E140),YEAR(E140)+1),'Scheme cost allocation'!$C$21:$C$42,0))*'Scheme cost allocation'!$J$21,'Scheme cost allocation'!$J$21),'Scheme cost allocation'!$J$21)</f>
        <v>0.90850599752846017</v>
      </c>
      <c r="K140" s="47"/>
      <c r="L140" s="169">
        <v>0.89839254081200004</v>
      </c>
      <c r="M140" s="175" t="s">
        <v>191</v>
      </c>
      <c r="N140" s="169">
        <v>3091.2571944145911</v>
      </c>
      <c r="O140" s="143">
        <f t="shared" si="3"/>
        <v>2777.1624051934991</v>
      </c>
      <c r="P140" s="144">
        <f t="shared" si="4"/>
        <v>2523.0687012288577</v>
      </c>
    </row>
    <row r="141" spans="3:16" x14ac:dyDescent="0.2">
      <c r="C141" s="145"/>
      <c r="D141" s="164" t="s">
        <v>274</v>
      </c>
      <c r="E141" s="137">
        <v>37257</v>
      </c>
      <c r="F141" s="172" t="str">
        <f t="shared" si="5"/>
        <v>2001-02</v>
      </c>
      <c r="H141" s="173" t="s">
        <v>190</v>
      </c>
      <c r="I141" s="174">
        <v>25184.239534746859</v>
      </c>
      <c r="J141" s="168">
        <f>IF(E141&lt;DATE(2016,1,1),IF(OR(M141="metres",M141="pipe"),INDEX('Scheme cost allocation'!$D$21:$D$42,MATCH(IF(MONTH(E141)&lt;7,YEAR(E141),YEAR(E141)+1),'Scheme cost allocation'!$C$21:$C$42,0))*'Scheme cost allocation'!$J$21,'Scheme cost allocation'!$J$21),'Scheme cost allocation'!$J$21)</f>
        <v>0.90850599752846017</v>
      </c>
      <c r="K141" s="47"/>
      <c r="L141" s="169">
        <v>14.501007034100001</v>
      </c>
      <c r="M141" s="175" t="s">
        <v>191</v>
      </c>
      <c r="N141" s="169">
        <v>2399.3144643146725</v>
      </c>
      <c r="O141" s="143">
        <f t="shared" si="3"/>
        <v>34792.475924044942</v>
      </c>
      <c r="P141" s="144">
        <f t="shared" si="4"/>
        <v>31609.173045859385</v>
      </c>
    </row>
    <row r="142" spans="3:16" x14ac:dyDescent="0.2">
      <c r="C142" s="145"/>
      <c r="D142" s="164" t="s">
        <v>274</v>
      </c>
      <c r="E142" s="137">
        <v>37257</v>
      </c>
      <c r="F142" s="172" t="str">
        <f t="shared" si="5"/>
        <v>2001-02</v>
      </c>
      <c r="H142" s="173" t="s">
        <v>190</v>
      </c>
      <c r="I142" s="174">
        <v>25184.239534746859</v>
      </c>
      <c r="J142" s="168">
        <f>IF(E142&lt;DATE(2016,1,1),IF(OR(M142="metres",M142="pipe"),INDEX('Scheme cost allocation'!$D$21:$D$42,MATCH(IF(MONTH(E142)&lt;7,YEAR(E142),YEAR(E142)+1),'Scheme cost allocation'!$C$21:$C$42,0))*'Scheme cost allocation'!$J$21,'Scheme cost allocation'!$J$21),'Scheme cost allocation'!$J$21)</f>
        <v>0.90850599752846017</v>
      </c>
      <c r="K142" s="47"/>
      <c r="L142" s="169">
        <v>50.994187951100002</v>
      </c>
      <c r="M142" s="175" t="s">
        <v>191</v>
      </c>
      <c r="N142" s="169">
        <v>2399.3144643146725</v>
      </c>
      <c r="O142" s="143">
        <f t="shared" si="3"/>
        <v>122351.09274705523</v>
      </c>
      <c r="P142" s="144">
        <f t="shared" si="4"/>
        <v>111156.70156486056</v>
      </c>
    </row>
    <row r="143" spans="3:16" x14ac:dyDescent="0.2">
      <c r="C143" s="145"/>
      <c r="D143" s="164" t="s">
        <v>274</v>
      </c>
      <c r="E143" s="137">
        <v>37257</v>
      </c>
      <c r="F143" s="172" t="str">
        <f t="shared" si="5"/>
        <v>2001-02</v>
      </c>
      <c r="H143" s="173" t="s">
        <v>190</v>
      </c>
      <c r="I143" s="174">
        <v>25184.239534746859</v>
      </c>
      <c r="J143" s="168">
        <f>IF(E143&lt;DATE(2016,1,1),IF(OR(M143="metres",M143="pipe"),INDEX('Scheme cost allocation'!$D$21:$D$42,MATCH(IF(MONTH(E143)&lt;7,YEAR(E143),YEAR(E143)+1),'Scheme cost allocation'!$C$21:$C$42,0))*'Scheme cost allocation'!$J$21,'Scheme cost allocation'!$J$21),'Scheme cost allocation'!$J$21)</f>
        <v>0.90850599752846017</v>
      </c>
      <c r="K143" s="47"/>
      <c r="L143" s="169">
        <v>50.965411830800001</v>
      </c>
      <c r="M143" s="175" t="s">
        <v>191</v>
      </c>
      <c r="N143" s="169">
        <v>2399.3144643146725</v>
      </c>
      <c r="O143" s="143">
        <f t="shared" si="3"/>
        <v>122282.04978539258</v>
      </c>
      <c r="P143" s="144">
        <f t="shared" si="4"/>
        <v>111093.97562010291</v>
      </c>
    </row>
    <row r="144" spans="3:16" x14ac:dyDescent="0.2">
      <c r="C144" s="145"/>
      <c r="D144" s="164" t="s">
        <v>274</v>
      </c>
      <c r="E144" s="137">
        <v>37257</v>
      </c>
      <c r="F144" s="172" t="str">
        <f t="shared" si="5"/>
        <v>2001-02</v>
      </c>
      <c r="H144" s="173" t="s">
        <v>190</v>
      </c>
      <c r="I144" s="174">
        <v>25184.239534746859</v>
      </c>
      <c r="J144" s="168">
        <f>IF(E144&lt;DATE(2016,1,1),IF(OR(M144="metres",M144="pipe"),INDEX('Scheme cost allocation'!$D$21:$D$42,MATCH(IF(MONTH(E144)&lt;7,YEAR(E144),YEAR(E144)+1),'Scheme cost allocation'!$C$21:$C$42,0))*'Scheme cost allocation'!$J$21,'Scheme cost allocation'!$J$21),'Scheme cost allocation'!$J$21)</f>
        <v>0.90850599752846017</v>
      </c>
      <c r="K144" s="47"/>
      <c r="L144" s="169">
        <v>50.761875670800002</v>
      </c>
      <c r="M144" s="175" t="s">
        <v>191</v>
      </c>
      <c r="N144" s="169">
        <v>2399.3144643146725</v>
      </c>
      <c r="O144" s="143">
        <f t="shared" si="3"/>
        <v>121793.70253269351</v>
      </c>
      <c r="P144" s="144">
        <f t="shared" si="4"/>
        <v>110650.30921214927</v>
      </c>
    </row>
    <row r="145" spans="3:16" x14ac:dyDescent="0.2">
      <c r="C145" s="145"/>
      <c r="D145" s="164" t="s">
        <v>274</v>
      </c>
      <c r="E145" s="137">
        <v>37257</v>
      </c>
      <c r="F145" s="172" t="str">
        <f t="shared" si="5"/>
        <v>2001-02</v>
      </c>
      <c r="H145" s="173" t="s">
        <v>190</v>
      </c>
      <c r="I145" s="174">
        <v>25184.239534746859</v>
      </c>
      <c r="J145" s="168">
        <f>IF(E145&lt;DATE(2016,1,1),IF(OR(M145="metres",M145="pipe"),INDEX('Scheme cost allocation'!$D$21:$D$42,MATCH(IF(MONTH(E145)&lt;7,YEAR(E145),YEAR(E145)+1),'Scheme cost allocation'!$C$21:$C$42,0))*'Scheme cost allocation'!$J$21,'Scheme cost allocation'!$J$21),'Scheme cost allocation'!$J$21)</f>
        <v>0.90850599752846017</v>
      </c>
      <c r="K145" s="47"/>
      <c r="L145" s="169">
        <v>50.553711638199999</v>
      </c>
      <c r="M145" s="175" t="s">
        <v>191</v>
      </c>
      <c r="N145" s="169">
        <v>2399.3144643146725</v>
      </c>
      <c r="O145" s="143">
        <f t="shared" si="3"/>
        <v>121294.25155832626</v>
      </c>
      <c r="P145" s="144">
        <f t="shared" si="4"/>
        <v>110196.55500646518</v>
      </c>
    </row>
    <row r="146" spans="3:16" x14ac:dyDescent="0.2">
      <c r="C146" s="145"/>
      <c r="D146" s="164" t="s">
        <v>248</v>
      </c>
      <c r="E146" s="137">
        <v>37257</v>
      </c>
      <c r="F146" s="172" t="str">
        <f t="shared" si="5"/>
        <v>2001-02</v>
      </c>
      <c r="H146" s="173" t="s">
        <v>190</v>
      </c>
      <c r="I146" s="174">
        <v>25184.239534746859</v>
      </c>
      <c r="J146" s="168">
        <f>IF(E146&lt;DATE(2016,1,1),IF(OR(M146="metres",M146="pipe"),INDEX('Scheme cost allocation'!$D$21:$D$42,MATCH(IF(MONTH(E146)&lt;7,YEAR(E146),YEAR(E146)+1),'Scheme cost allocation'!$C$21:$C$42,0))*'Scheme cost allocation'!$J$21,'Scheme cost allocation'!$J$21),'Scheme cost allocation'!$J$21)</f>
        <v>0.90850599752846017</v>
      </c>
      <c r="K146" s="47"/>
      <c r="L146" s="169">
        <v>14.870417905</v>
      </c>
      <c r="M146" s="175" t="s">
        <v>191</v>
      </c>
      <c r="N146" s="169">
        <v>3091.2571944145907</v>
      </c>
      <c r="O146" s="143">
        <f t="shared" si="3"/>
        <v>45968.286332782794</v>
      </c>
      <c r="P146" s="144">
        <f t="shared" si="4"/>
        <v>41762.463829438719</v>
      </c>
    </row>
    <row r="147" spans="3:16" x14ac:dyDescent="0.2">
      <c r="C147" s="145"/>
      <c r="D147" s="164" t="s">
        <v>248</v>
      </c>
      <c r="E147" s="137">
        <v>37257</v>
      </c>
      <c r="F147" s="172" t="str">
        <f t="shared" si="5"/>
        <v>2001-02</v>
      </c>
      <c r="H147" s="173" t="s">
        <v>190</v>
      </c>
      <c r="I147" s="174">
        <v>25184.239534746859</v>
      </c>
      <c r="J147" s="168">
        <f>IF(E147&lt;DATE(2016,1,1),IF(OR(M147="metres",M147="pipe"),INDEX('Scheme cost allocation'!$D$21:$D$42,MATCH(IF(MONTH(E147)&lt;7,YEAR(E147),YEAR(E147)+1),'Scheme cost allocation'!$C$21:$C$42,0))*'Scheme cost allocation'!$J$21,'Scheme cost allocation'!$J$21),'Scheme cost allocation'!$J$21)</f>
        <v>0.90850599752846017</v>
      </c>
      <c r="K147" s="47"/>
      <c r="L147" s="169">
        <v>3.20738055117</v>
      </c>
      <c r="M147" s="175" t="s">
        <v>191</v>
      </c>
      <c r="N147" s="169">
        <v>3091.2571944145907</v>
      </c>
      <c r="O147" s="143">
        <f t="shared" si="3"/>
        <v>9914.8382040296983</v>
      </c>
      <c r="P147" s="144">
        <f t="shared" si="4"/>
        <v>9007.6899728852877</v>
      </c>
    </row>
    <row r="148" spans="3:16" x14ac:dyDescent="0.2">
      <c r="C148" s="145"/>
      <c r="D148" s="164" t="s">
        <v>275</v>
      </c>
      <c r="E148" s="137">
        <v>37257</v>
      </c>
      <c r="F148" s="172" t="str">
        <f t="shared" si="5"/>
        <v>2001-02</v>
      </c>
      <c r="H148" s="173" t="s">
        <v>190</v>
      </c>
      <c r="I148" s="174">
        <v>25184.239534746859</v>
      </c>
      <c r="J148" s="168">
        <f>IF(E148&lt;DATE(2016,1,1),IF(OR(M148="metres",M148="pipe"),INDEX('Scheme cost allocation'!$D$21:$D$42,MATCH(IF(MONTH(E148)&lt;7,YEAR(E148),YEAR(E148)+1),'Scheme cost allocation'!$C$21:$C$42,0))*'Scheme cost allocation'!$J$21,'Scheme cost allocation'!$J$21),'Scheme cost allocation'!$J$21)</f>
        <v>0.90850599752846017</v>
      </c>
      <c r="K148" s="47"/>
      <c r="L148" s="169">
        <v>12.471853787000001</v>
      </c>
      <c r="M148" s="175" t="s">
        <v>191</v>
      </c>
      <c r="N148" s="169">
        <v>6425.53354831875</v>
      </c>
      <c r="O148" s="143">
        <f t="shared" si="3"/>
        <v>80138.314918094751</v>
      </c>
      <c r="P148" s="144">
        <f t="shared" si="4"/>
        <v>72806.139734913551</v>
      </c>
    </row>
    <row r="149" spans="3:16" x14ac:dyDescent="0.2">
      <c r="C149" s="145"/>
      <c r="D149" s="164" t="s">
        <v>273</v>
      </c>
      <c r="E149" s="137">
        <v>37257</v>
      </c>
      <c r="F149" s="172" t="str">
        <f t="shared" si="5"/>
        <v>2001-02</v>
      </c>
      <c r="H149" s="173" t="s">
        <v>190</v>
      </c>
      <c r="I149" s="174">
        <v>25184.239534746859</v>
      </c>
      <c r="J149" s="168">
        <f>IF(E149&lt;DATE(2016,1,1),IF(OR(M149="metres",M149="pipe"),INDEX('Scheme cost allocation'!$D$21:$D$42,MATCH(IF(MONTH(E149)&lt;7,YEAR(E149),YEAR(E149)+1),'Scheme cost allocation'!$C$21:$C$42,0))*'Scheme cost allocation'!$J$21,'Scheme cost allocation'!$J$21),'Scheme cost allocation'!$J$21)</f>
        <v>0.90850599752846017</v>
      </c>
      <c r="K149" s="47"/>
      <c r="L149" s="169">
        <v>6.38</v>
      </c>
      <c r="M149" s="175" t="s">
        <v>191</v>
      </c>
      <c r="N149" s="169">
        <v>3311.0720454785619</v>
      </c>
      <c r="O149" s="143">
        <f t="shared" si="3"/>
        <v>21124.639650153225</v>
      </c>
      <c r="P149" s="144">
        <f t="shared" si="4"/>
        <v>19191.86181779172</v>
      </c>
    </row>
    <row r="150" spans="3:16" x14ac:dyDescent="0.2">
      <c r="C150" s="145"/>
      <c r="D150" s="164" t="s">
        <v>273</v>
      </c>
      <c r="E150" s="137">
        <v>37257</v>
      </c>
      <c r="F150" s="172" t="str">
        <f t="shared" si="5"/>
        <v>2001-02</v>
      </c>
      <c r="H150" s="173" t="s">
        <v>190</v>
      </c>
      <c r="I150" s="174">
        <v>25184.239534746859</v>
      </c>
      <c r="J150" s="168">
        <f>IF(E150&lt;DATE(2016,1,1),IF(OR(M150="metres",M150="pipe"),INDEX('Scheme cost allocation'!$D$21:$D$42,MATCH(IF(MONTH(E150)&lt;7,YEAR(E150),YEAR(E150)+1),'Scheme cost allocation'!$C$21:$C$42,0))*'Scheme cost allocation'!$J$21,'Scheme cost allocation'!$J$21),'Scheme cost allocation'!$J$21)</f>
        <v>0.90850599752846017</v>
      </c>
      <c r="K150" s="47"/>
      <c r="L150" s="169">
        <v>13.7895920172</v>
      </c>
      <c r="M150" s="175" t="s">
        <v>191</v>
      </c>
      <c r="N150" s="169">
        <v>3311.0720454785619</v>
      </c>
      <c r="O150" s="143">
        <f t="shared" ref="O150:O213" si="6">IF(N150="","-",L150*N150)</f>
        <v>45658.332646705254</v>
      </c>
      <c r="P150" s="144">
        <f t="shared" ref="P150:P213" si="7">IF(O150="-","-",IF(OR(E150&lt;$E$15,E150&gt;$E$16),0,O150*J150))</f>
        <v>41480.869046681219</v>
      </c>
    </row>
    <row r="151" spans="3:16" x14ac:dyDescent="0.2">
      <c r="C151" s="145"/>
      <c r="D151" s="164" t="s">
        <v>275</v>
      </c>
      <c r="E151" s="137">
        <v>37257</v>
      </c>
      <c r="F151" s="172" t="str">
        <f t="shared" si="5"/>
        <v>2001-02</v>
      </c>
      <c r="H151" s="173" t="s">
        <v>190</v>
      </c>
      <c r="I151" s="174">
        <v>25184.239534746859</v>
      </c>
      <c r="J151" s="168">
        <f>IF(E151&lt;DATE(2016,1,1),IF(OR(M151="metres",M151="pipe"),INDEX('Scheme cost allocation'!$D$21:$D$42,MATCH(IF(MONTH(E151)&lt;7,YEAR(E151),YEAR(E151)+1),'Scheme cost allocation'!$C$21:$C$42,0))*'Scheme cost allocation'!$J$21,'Scheme cost allocation'!$J$21),'Scheme cost allocation'!$J$21)</f>
        <v>0.90850599752846017</v>
      </c>
      <c r="K151" s="47"/>
      <c r="L151" s="169">
        <v>7.1416530999500001</v>
      </c>
      <c r="M151" s="175" t="s">
        <v>191</v>
      </c>
      <c r="N151" s="169">
        <v>6425.53354831875</v>
      </c>
      <c r="O151" s="143">
        <f t="shared" si="6"/>
        <v>45888.931584183323</v>
      </c>
      <c r="P151" s="144">
        <f t="shared" si="7"/>
        <v>41690.369564403729</v>
      </c>
    </row>
    <row r="152" spans="3:16" x14ac:dyDescent="0.2">
      <c r="C152" s="145"/>
      <c r="D152" s="164" t="s">
        <v>273</v>
      </c>
      <c r="E152" s="137">
        <v>37257</v>
      </c>
      <c r="F152" s="172" t="str">
        <f t="shared" si="5"/>
        <v>2001-02</v>
      </c>
      <c r="H152" s="173" t="s">
        <v>190</v>
      </c>
      <c r="I152" s="174">
        <v>25184.239534746859</v>
      </c>
      <c r="J152" s="168">
        <f>IF(E152&lt;DATE(2016,1,1),IF(OR(M152="metres",M152="pipe"),INDEX('Scheme cost allocation'!$D$21:$D$42,MATCH(IF(MONTH(E152)&lt;7,YEAR(E152),YEAR(E152)+1),'Scheme cost allocation'!$C$21:$C$42,0))*'Scheme cost allocation'!$J$21,'Scheme cost allocation'!$J$21),'Scheme cost allocation'!$J$21)</f>
        <v>0.90850599752846017</v>
      </c>
      <c r="K152" s="47"/>
      <c r="L152" s="169">
        <v>2.9880128848499998</v>
      </c>
      <c r="M152" s="175" t="s">
        <v>191</v>
      </c>
      <c r="N152" s="169">
        <v>3311.0720454785619</v>
      </c>
      <c r="O152" s="143">
        <f t="shared" si="6"/>
        <v>9893.5259345565883</v>
      </c>
      <c r="P152" s="144">
        <f t="shared" si="7"/>
        <v>8988.3276482480251</v>
      </c>
    </row>
    <row r="153" spans="3:16" x14ac:dyDescent="0.2">
      <c r="C153" s="145"/>
      <c r="D153" s="164" t="s">
        <v>276</v>
      </c>
      <c r="E153" s="137">
        <v>37257</v>
      </c>
      <c r="F153" s="172" t="str">
        <f t="shared" si="5"/>
        <v>2001-02</v>
      </c>
      <c r="H153" s="173" t="s">
        <v>190</v>
      </c>
      <c r="I153" s="174">
        <v>25184.239534746859</v>
      </c>
      <c r="J153" s="168">
        <f>IF(E153&lt;DATE(2016,1,1),IF(OR(M153="metres",M153="pipe"),INDEX('Scheme cost allocation'!$D$21:$D$42,MATCH(IF(MONTH(E153)&lt;7,YEAR(E153),YEAR(E153)+1),'Scheme cost allocation'!$C$21:$C$42,0))*'Scheme cost allocation'!$J$21,'Scheme cost allocation'!$J$21),'Scheme cost allocation'!$J$21)</f>
        <v>0.90850599752846017</v>
      </c>
      <c r="K153" s="47"/>
      <c r="L153" s="169">
        <v>7.9778840553099997</v>
      </c>
      <c r="M153" s="175" t="s">
        <v>191</v>
      </c>
      <c r="N153" s="169">
        <v>3646.0416007030317</v>
      </c>
      <c r="O153" s="143">
        <f t="shared" si="6"/>
        <v>29087.697151245666</v>
      </c>
      <c r="P153" s="144">
        <f t="shared" si="7"/>
        <v>26426.347316198193</v>
      </c>
    </row>
    <row r="154" spans="3:16" x14ac:dyDescent="0.2">
      <c r="C154" s="145"/>
      <c r="D154" s="164" t="s">
        <v>273</v>
      </c>
      <c r="E154" s="137">
        <v>37257</v>
      </c>
      <c r="F154" s="172" t="str">
        <f t="shared" si="5"/>
        <v>2001-02</v>
      </c>
      <c r="H154" s="173" t="s">
        <v>190</v>
      </c>
      <c r="I154" s="174">
        <v>25184.239534746859</v>
      </c>
      <c r="J154" s="168">
        <f>IF(E154&lt;DATE(2016,1,1),IF(OR(M154="metres",M154="pipe"),INDEX('Scheme cost allocation'!$D$21:$D$42,MATCH(IF(MONTH(E154)&lt;7,YEAR(E154),YEAR(E154)+1),'Scheme cost allocation'!$C$21:$C$42,0))*'Scheme cost allocation'!$J$21,'Scheme cost allocation'!$J$21),'Scheme cost allocation'!$J$21)</f>
        <v>0.90850599752846017</v>
      </c>
      <c r="K154" s="47"/>
      <c r="L154" s="169">
        <v>5.5889635890699996</v>
      </c>
      <c r="M154" s="175" t="s">
        <v>191</v>
      </c>
      <c r="N154" s="169">
        <v>3311.0720454785619</v>
      </c>
      <c r="O154" s="143">
        <f t="shared" si="6"/>
        <v>18505.461102967209</v>
      </c>
      <c r="P154" s="144">
        <f t="shared" si="7"/>
        <v>16812.322399075343</v>
      </c>
    </row>
    <row r="155" spans="3:16" x14ac:dyDescent="0.2">
      <c r="C155" s="145"/>
      <c r="D155" s="164" t="s">
        <v>277</v>
      </c>
      <c r="E155" s="137">
        <v>37257</v>
      </c>
      <c r="F155" s="172" t="str">
        <f t="shared" si="5"/>
        <v>2001-02</v>
      </c>
      <c r="H155" s="173" t="s">
        <v>190</v>
      </c>
      <c r="I155" s="174">
        <v>25184.239534746859</v>
      </c>
      <c r="J155" s="168">
        <f>IF(E155&lt;DATE(2016,1,1),IF(OR(M155="metres",M155="pipe"),INDEX('Scheme cost allocation'!$D$21:$D$42,MATCH(IF(MONTH(E155)&lt;7,YEAR(E155),YEAR(E155)+1),'Scheme cost allocation'!$C$21:$C$42,0))*'Scheme cost allocation'!$J$21,'Scheme cost allocation'!$J$21),'Scheme cost allocation'!$J$21)</f>
        <v>0.90850599752846017</v>
      </c>
      <c r="K155" s="47"/>
      <c r="L155" s="169">
        <v>10.793452923</v>
      </c>
      <c r="M155" s="175" t="s">
        <v>191</v>
      </c>
      <c r="N155" s="169">
        <v>3996.536336679088</v>
      </c>
      <c r="O155" s="143">
        <f t="shared" si="6"/>
        <v>43136.426805004616</v>
      </c>
      <c r="P155" s="144">
        <f t="shared" si="7"/>
        <v>39189.702464294125</v>
      </c>
    </row>
    <row r="156" spans="3:16" x14ac:dyDescent="0.2">
      <c r="C156" s="145"/>
      <c r="D156" s="164" t="s">
        <v>273</v>
      </c>
      <c r="E156" s="137">
        <v>37257</v>
      </c>
      <c r="F156" s="172" t="str">
        <f t="shared" si="5"/>
        <v>2001-02</v>
      </c>
      <c r="H156" s="173" t="s">
        <v>190</v>
      </c>
      <c r="I156" s="174">
        <v>25184.239534746859</v>
      </c>
      <c r="J156" s="168">
        <f>IF(E156&lt;DATE(2016,1,1),IF(OR(M156="metres",M156="pipe"),INDEX('Scheme cost allocation'!$D$21:$D$42,MATCH(IF(MONTH(E156)&lt;7,YEAR(E156),YEAR(E156)+1),'Scheme cost allocation'!$C$21:$C$42,0))*'Scheme cost allocation'!$J$21,'Scheme cost allocation'!$J$21),'Scheme cost allocation'!$J$21)</f>
        <v>0.90850599752846017</v>
      </c>
      <c r="K156" s="47"/>
      <c r="L156" s="169">
        <v>4.9867417218099996</v>
      </c>
      <c r="M156" s="175" t="s">
        <v>191</v>
      </c>
      <c r="N156" s="169">
        <v>3311.0720454785619</v>
      </c>
      <c r="O156" s="143">
        <f t="shared" si="6"/>
        <v>16511.461113106721</v>
      </c>
      <c r="P156" s="144">
        <f t="shared" si="7"/>
        <v>15000.761449215401</v>
      </c>
    </row>
    <row r="157" spans="3:16" x14ac:dyDescent="0.2">
      <c r="C157" s="145"/>
      <c r="D157" s="164" t="s">
        <v>274</v>
      </c>
      <c r="E157" s="137">
        <v>37257</v>
      </c>
      <c r="F157" s="172" t="str">
        <f t="shared" si="5"/>
        <v>2001-02</v>
      </c>
      <c r="H157" s="173" t="s">
        <v>190</v>
      </c>
      <c r="I157" s="174">
        <v>25184.239534746859</v>
      </c>
      <c r="J157" s="168">
        <f>IF(E157&lt;DATE(2016,1,1),IF(OR(M157="metres",M157="pipe"),INDEX('Scheme cost allocation'!$D$21:$D$42,MATCH(IF(MONTH(E157)&lt;7,YEAR(E157),YEAR(E157)+1),'Scheme cost allocation'!$C$21:$C$42,0))*'Scheme cost allocation'!$J$21,'Scheme cost allocation'!$J$21),'Scheme cost allocation'!$J$21)</f>
        <v>0.90850599752846017</v>
      </c>
      <c r="K157" s="47"/>
      <c r="L157" s="169">
        <v>36.463100620299997</v>
      </c>
      <c r="M157" s="175" t="s">
        <v>191</v>
      </c>
      <c r="N157" s="169">
        <v>2399.3144643146725</v>
      </c>
      <c r="O157" s="143">
        <f t="shared" si="6"/>
        <v>87486.444732047094</v>
      </c>
      <c r="P157" s="144">
        <f t="shared" si="7"/>
        <v>79481.959741506944</v>
      </c>
    </row>
    <row r="158" spans="3:16" x14ac:dyDescent="0.2">
      <c r="C158" s="145"/>
      <c r="D158" s="164" t="s">
        <v>273</v>
      </c>
      <c r="E158" s="137">
        <v>37257</v>
      </c>
      <c r="F158" s="172" t="str">
        <f t="shared" si="5"/>
        <v>2001-02</v>
      </c>
      <c r="H158" s="173" t="s">
        <v>190</v>
      </c>
      <c r="I158" s="174">
        <v>25184.239534746859</v>
      </c>
      <c r="J158" s="168">
        <f>IF(E158&lt;DATE(2016,1,1),IF(OR(M158="metres",M158="pipe"),INDEX('Scheme cost allocation'!$D$21:$D$42,MATCH(IF(MONTH(E158)&lt;7,YEAR(E158),YEAR(E158)+1),'Scheme cost allocation'!$C$21:$C$42,0))*'Scheme cost allocation'!$J$21,'Scheme cost allocation'!$J$21),'Scheme cost allocation'!$J$21)</f>
        <v>0.90850599752846017</v>
      </c>
      <c r="K158" s="47"/>
      <c r="L158" s="169">
        <v>6.6577792927799999</v>
      </c>
      <c r="M158" s="175" t="s">
        <v>191</v>
      </c>
      <c r="N158" s="169">
        <v>3311.0720454785619</v>
      </c>
      <c r="O158" s="143">
        <f t="shared" si="6"/>
        <v>22044.386901289887</v>
      </c>
      <c r="P158" s="144">
        <f t="shared" si="7"/>
        <v>20027.457711659688</v>
      </c>
    </row>
    <row r="159" spans="3:16" ht="22.8" x14ac:dyDescent="0.2">
      <c r="C159" s="145"/>
      <c r="D159" s="164" t="s">
        <v>278</v>
      </c>
      <c r="E159" s="137">
        <v>37257</v>
      </c>
      <c r="F159" s="172" t="str">
        <f t="shared" si="5"/>
        <v>2001-02</v>
      </c>
      <c r="H159" s="173" t="s">
        <v>190</v>
      </c>
      <c r="I159" s="174">
        <v>25184.239534746859</v>
      </c>
      <c r="J159" s="168">
        <f>IF(E159&lt;DATE(2016,1,1),IF(OR(M159="metres",M159="pipe"),INDEX('Scheme cost allocation'!$D$21:$D$42,MATCH(IF(MONTH(E159)&lt;7,YEAR(E159),YEAR(E159)+1),'Scheme cost allocation'!$C$21:$C$42,0))*'Scheme cost allocation'!$J$21,'Scheme cost allocation'!$J$21),'Scheme cost allocation'!$J$21)</f>
        <v>0.90850599752846017</v>
      </c>
      <c r="K159" s="47"/>
      <c r="L159" s="169">
        <v>14.946149525299999</v>
      </c>
      <c r="M159" s="175" t="s">
        <v>191</v>
      </c>
      <c r="N159" s="169">
        <v>8969.6641032453881</v>
      </c>
      <c r="O159" s="143">
        <f t="shared" si="6"/>
        <v>134061.94087882151</v>
      </c>
      <c r="P159" s="144">
        <f t="shared" si="7"/>
        <v>121796.07732871518</v>
      </c>
    </row>
    <row r="160" spans="3:16" ht="22.8" x14ac:dyDescent="0.2">
      <c r="C160" s="145"/>
      <c r="D160" s="164" t="s">
        <v>278</v>
      </c>
      <c r="E160" s="137">
        <v>37257</v>
      </c>
      <c r="F160" s="172" t="str">
        <f t="shared" si="5"/>
        <v>2001-02</v>
      </c>
      <c r="H160" s="173" t="s">
        <v>190</v>
      </c>
      <c r="I160" s="174">
        <v>25184.239534746859</v>
      </c>
      <c r="J160" s="168">
        <f>IF(E160&lt;DATE(2016,1,1),IF(OR(M160="metres",M160="pipe"),INDEX('Scheme cost allocation'!$D$21:$D$42,MATCH(IF(MONTH(E160)&lt;7,YEAR(E160),YEAR(E160)+1),'Scheme cost allocation'!$C$21:$C$42,0))*'Scheme cost allocation'!$J$21,'Scheme cost allocation'!$J$21),'Scheme cost allocation'!$J$21)</f>
        <v>0.90850599752846017</v>
      </c>
      <c r="K160" s="47"/>
      <c r="L160" s="169">
        <v>29.472372971999999</v>
      </c>
      <c r="M160" s="175" t="s">
        <v>191</v>
      </c>
      <c r="N160" s="169">
        <v>8969.6641032453881</v>
      </c>
      <c r="O160" s="143">
        <f t="shared" ref="O160:O166" si="8">IF(N160="","-",L160*N160)</f>
        <v>264357.28588440799</v>
      </c>
      <c r="P160" s="144">
        <f t="shared" si="7"/>
        <v>240170.1797163304</v>
      </c>
    </row>
    <row r="161" spans="3:16" ht="22.8" x14ac:dyDescent="0.2">
      <c r="C161" s="145"/>
      <c r="D161" s="164" t="s">
        <v>278</v>
      </c>
      <c r="E161" s="137">
        <v>37257</v>
      </c>
      <c r="F161" s="172" t="str">
        <f t="shared" si="5"/>
        <v>2001-02</v>
      </c>
      <c r="H161" s="173" t="s">
        <v>190</v>
      </c>
      <c r="I161" s="174">
        <v>25184.239534746859</v>
      </c>
      <c r="J161" s="168">
        <f>IF(E161&lt;DATE(2016,1,1),IF(OR(M161="metres",M161="pipe"),INDEX('Scheme cost allocation'!$D$21:$D$42,MATCH(IF(MONTH(E161)&lt;7,YEAR(E161),YEAR(E161)+1),'Scheme cost allocation'!$C$21:$C$42,0))*'Scheme cost allocation'!$J$21,'Scheme cost allocation'!$J$21),'Scheme cost allocation'!$J$21)</f>
        <v>0.90850599752846017</v>
      </c>
      <c r="K161" s="47"/>
      <c r="L161" s="169">
        <v>35.518305815600002</v>
      </c>
      <c r="M161" s="175" t="s">
        <v>191</v>
      </c>
      <c r="N161" s="169">
        <v>8969.6641032453881</v>
      </c>
      <c r="O161" s="143">
        <f t="shared" si="8"/>
        <v>318587.27268227923</v>
      </c>
      <c r="P161" s="144">
        <f t="shared" si="7"/>
        <v>289438.44796808565</v>
      </c>
    </row>
    <row r="162" spans="3:16" ht="22.8" x14ac:dyDescent="0.2">
      <c r="C162" s="145"/>
      <c r="D162" s="164" t="s">
        <v>278</v>
      </c>
      <c r="E162" s="137">
        <v>37257</v>
      </c>
      <c r="F162" s="172" t="str">
        <f t="shared" si="5"/>
        <v>2001-02</v>
      </c>
      <c r="H162" s="173" t="s">
        <v>190</v>
      </c>
      <c r="I162" s="174">
        <v>25184.239534746859</v>
      </c>
      <c r="J162" s="168">
        <f>IF(E162&lt;DATE(2016,1,1),IF(OR(M162="metres",M162="pipe"),INDEX('Scheme cost allocation'!$D$21:$D$42,MATCH(IF(MONTH(E162)&lt;7,YEAR(E162),YEAR(E162)+1),'Scheme cost allocation'!$C$21:$C$42,0))*'Scheme cost allocation'!$J$21,'Scheme cost allocation'!$J$21),'Scheme cost allocation'!$J$21)</f>
        <v>0.90850599752846017</v>
      </c>
      <c r="K162" s="47"/>
      <c r="L162" s="169">
        <v>46.469896952399999</v>
      </c>
      <c r="M162" s="175" t="s">
        <v>191</v>
      </c>
      <c r="N162" s="169">
        <v>8969.6641032453899</v>
      </c>
      <c r="O162" s="143">
        <f t="shared" si="8"/>
        <v>416819.36657545459</v>
      </c>
      <c r="P162" s="144">
        <f t="shared" si="7"/>
        <v>378682.89441981429</v>
      </c>
    </row>
    <row r="163" spans="3:16" ht="22.8" x14ac:dyDescent="0.2">
      <c r="C163" s="145"/>
      <c r="D163" s="164" t="s">
        <v>278</v>
      </c>
      <c r="E163" s="137">
        <v>37257</v>
      </c>
      <c r="F163" s="172" t="str">
        <f t="shared" si="5"/>
        <v>2001-02</v>
      </c>
      <c r="H163" s="173" t="s">
        <v>190</v>
      </c>
      <c r="I163" s="174">
        <v>25184.239534746859</v>
      </c>
      <c r="J163" s="168">
        <f>IF(E163&lt;DATE(2016,1,1),IF(OR(M163="metres",M163="pipe"),INDEX('Scheme cost allocation'!$D$21:$D$42,MATCH(IF(MONTH(E163)&lt;7,YEAR(E163),YEAR(E163)+1),'Scheme cost allocation'!$C$21:$C$42,0))*'Scheme cost allocation'!$J$21,'Scheme cost allocation'!$J$21),'Scheme cost allocation'!$J$21)</f>
        <v>0.90850599752846017</v>
      </c>
      <c r="K163" s="47"/>
      <c r="L163" s="169">
        <v>55.678869271899998</v>
      </c>
      <c r="M163" s="175" t="s">
        <v>191</v>
      </c>
      <c r="N163" s="169">
        <v>8969.6641032453881</v>
      </c>
      <c r="O163" s="143">
        <f t="shared" si="8"/>
        <v>499420.7550174541</v>
      </c>
      <c r="P163" s="144">
        <f t="shared" si="7"/>
        <v>453726.75122354884</v>
      </c>
    </row>
    <row r="164" spans="3:16" ht="22.8" x14ac:dyDescent="0.2">
      <c r="C164" s="145"/>
      <c r="D164" s="164" t="s">
        <v>278</v>
      </c>
      <c r="E164" s="137">
        <v>37257</v>
      </c>
      <c r="F164" s="172" t="str">
        <f t="shared" si="5"/>
        <v>2001-02</v>
      </c>
      <c r="H164" s="173" t="s">
        <v>190</v>
      </c>
      <c r="I164" s="174">
        <v>25184.239534746859</v>
      </c>
      <c r="J164" s="168">
        <f>IF(E164&lt;DATE(2016,1,1),IF(OR(M164="metres",M164="pipe"),INDEX('Scheme cost allocation'!$D$21:$D$42,MATCH(IF(MONTH(E164)&lt;7,YEAR(E164),YEAR(E164)+1),'Scheme cost allocation'!$C$21:$C$42,0))*'Scheme cost allocation'!$J$21,'Scheme cost allocation'!$J$21),'Scheme cost allocation'!$J$21)</f>
        <v>0.90850599752846017</v>
      </c>
      <c r="K164" s="47"/>
      <c r="L164" s="169">
        <v>47.892503557700003</v>
      </c>
      <c r="M164" s="175" t="s">
        <v>191</v>
      </c>
      <c r="N164" s="169">
        <v>8969.6641032453899</v>
      </c>
      <c r="O164" s="143">
        <f t="shared" si="8"/>
        <v>429579.66997605382</v>
      </c>
      <c r="P164" s="144">
        <f t="shared" si="7"/>
        <v>390275.70658954151</v>
      </c>
    </row>
    <row r="165" spans="3:16" ht="22.8" x14ac:dyDescent="0.2">
      <c r="C165" s="145"/>
      <c r="D165" s="164" t="s">
        <v>278</v>
      </c>
      <c r="E165" s="137">
        <v>37257</v>
      </c>
      <c r="F165" s="172" t="str">
        <f t="shared" si="5"/>
        <v>2001-02</v>
      </c>
      <c r="H165" s="173" t="s">
        <v>190</v>
      </c>
      <c r="I165" s="174">
        <v>25184.239534746859</v>
      </c>
      <c r="J165" s="168">
        <f>IF(E165&lt;DATE(2016,1,1),IF(OR(M165="metres",M165="pipe"),INDEX('Scheme cost allocation'!$D$21:$D$42,MATCH(IF(MONTH(E165)&lt;7,YEAR(E165),YEAR(E165)+1),'Scheme cost allocation'!$C$21:$C$42,0))*'Scheme cost allocation'!$J$21,'Scheme cost allocation'!$J$21),'Scheme cost allocation'!$J$21)</f>
        <v>0.90850599752846017</v>
      </c>
      <c r="K165" s="47"/>
      <c r="L165" s="169">
        <v>35.624222923399998</v>
      </c>
      <c r="M165" s="175" t="s">
        <v>191</v>
      </c>
      <c r="N165" s="169">
        <v>8969.6641032453899</v>
      </c>
      <c r="O165" s="143">
        <f t="shared" si="8"/>
        <v>319537.31356203253</v>
      </c>
      <c r="P165" s="144">
        <f t="shared" si="7"/>
        <v>290301.56580523873</v>
      </c>
    </row>
    <row r="166" spans="3:16" ht="22.8" x14ac:dyDescent="0.2">
      <c r="C166" s="145"/>
      <c r="D166" s="164" t="s">
        <v>278</v>
      </c>
      <c r="E166" s="137">
        <v>37257</v>
      </c>
      <c r="F166" s="172" t="str">
        <f t="shared" si="5"/>
        <v>2001-02</v>
      </c>
      <c r="H166" s="173" t="s">
        <v>190</v>
      </c>
      <c r="I166" s="174">
        <v>25184.239534746859</v>
      </c>
      <c r="J166" s="168">
        <f>IF(E166&lt;DATE(2016,1,1),IF(OR(M166="metres",M166="pipe"),INDEX('Scheme cost allocation'!$D$21:$D$42,MATCH(IF(MONTH(E166)&lt;7,YEAR(E166),YEAR(E166)+1),'Scheme cost allocation'!$C$21:$C$42,0))*'Scheme cost allocation'!$J$21,'Scheme cost allocation'!$J$21),'Scheme cost allocation'!$J$21)</f>
        <v>0.90850599752846017</v>
      </c>
      <c r="K166" s="47"/>
      <c r="L166" s="169">
        <v>36.045204866900001</v>
      </c>
      <c r="M166" s="175" t="s">
        <v>191</v>
      </c>
      <c r="N166" s="169">
        <v>8969.6641032453881</v>
      </c>
      <c r="O166" s="143">
        <f t="shared" si="8"/>
        <v>323313.38018875889</v>
      </c>
      <c r="P166" s="144">
        <f t="shared" si="7"/>
        <v>293732.14498268667</v>
      </c>
    </row>
    <row r="167" spans="3:16" ht="22.8" x14ac:dyDescent="0.2">
      <c r="C167" s="145"/>
      <c r="D167" s="164" t="s">
        <v>278</v>
      </c>
      <c r="E167" s="137">
        <v>37257</v>
      </c>
      <c r="F167" s="172" t="str">
        <f t="shared" si="5"/>
        <v>2001-02</v>
      </c>
      <c r="H167" s="173" t="s">
        <v>190</v>
      </c>
      <c r="I167" s="174">
        <v>25184.239534746859</v>
      </c>
      <c r="J167" s="168">
        <f>IF(E167&lt;DATE(2016,1,1),IF(OR(M167="metres",M167="pipe"),INDEX('Scheme cost allocation'!$D$21:$D$42,MATCH(IF(MONTH(E167)&lt;7,YEAR(E167),YEAR(E167)+1),'Scheme cost allocation'!$C$21:$C$42,0))*'Scheme cost allocation'!$J$21,'Scheme cost allocation'!$J$21),'Scheme cost allocation'!$J$21)</f>
        <v>0.90850599752846017</v>
      </c>
      <c r="K167" s="47"/>
      <c r="L167" s="169">
        <v>27.702151887599999</v>
      </c>
      <c r="M167" s="175" t="s">
        <v>191</v>
      </c>
      <c r="N167" s="169">
        <v>8969.6641032453881</v>
      </c>
      <c r="O167" s="143">
        <f t="shared" si="6"/>
        <v>248478.99736885718</v>
      </c>
      <c r="P167" s="144">
        <f t="shared" si="7"/>
        <v>225744.65936946523</v>
      </c>
    </row>
    <row r="168" spans="3:16" x14ac:dyDescent="0.2">
      <c r="C168" s="145"/>
      <c r="D168" s="164" t="s">
        <v>249</v>
      </c>
      <c r="E168" s="137">
        <v>37622</v>
      </c>
      <c r="F168" s="172" t="str">
        <f t="shared" si="5"/>
        <v>2002-03</v>
      </c>
      <c r="H168" s="173" t="s">
        <v>190</v>
      </c>
      <c r="I168" s="174">
        <v>25184.239534746859</v>
      </c>
      <c r="J168" s="168">
        <f>IF(E168&lt;DATE(2016,1,1),IF(OR(M168="metres",M168="pipe"),INDEX('Scheme cost allocation'!$D$21:$D$42,MATCH(IF(MONTH(E168)&lt;7,YEAR(E168),YEAR(E168)+1),'Scheme cost allocation'!$C$21:$C$42,0))*'Scheme cost allocation'!$J$21,'Scheme cost allocation'!$J$21),'Scheme cost allocation'!$J$21)</f>
        <v>0.90850599752846017</v>
      </c>
      <c r="K168" s="47"/>
      <c r="L168" s="169">
        <v>101.500106409</v>
      </c>
      <c r="M168" s="175" t="s">
        <v>191</v>
      </c>
      <c r="N168" s="169">
        <v>2431.9215227227332</v>
      </c>
      <c r="O168" s="143">
        <f t="shared" si="6"/>
        <v>246840.29333469472</v>
      </c>
      <c r="P168" s="144">
        <f t="shared" si="7"/>
        <v>224255.88692625455</v>
      </c>
    </row>
    <row r="169" spans="3:16" x14ac:dyDescent="0.2">
      <c r="C169" s="145"/>
      <c r="D169" s="164" t="s">
        <v>279</v>
      </c>
      <c r="E169" s="137">
        <v>37622</v>
      </c>
      <c r="F169" s="172" t="str">
        <f t="shared" ref="F169:F232" si="9">IF(E169="","-",IF(OR(E169&lt;$E$15,E169&gt;$E$16),"ERROR - date outside of range",IF(MONTH(E169)&gt;=7,YEAR(E169)&amp;"-"&amp;IF(YEAR(E169)=1999,"00",IF(AND(YEAR(E169)&gt;=2000,YEAR(E169)&lt;2009),"0","")&amp;RIGHT(YEAR(E169),2)+1),RIGHT(YEAR(E169),4)-1&amp;"-"&amp;RIGHT(YEAR(E169),2))))</f>
        <v>2002-03</v>
      </c>
      <c r="H169" s="173" t="s">
        <v>190</v>
      </c>
      <c r="I169" s="174">
        <v>25184.239534746859</v>
      </c>
      <c r="J169" s="168">
        <f>IF(E169&lt;DATE(2016,1,1),IF(OR(M169="metres",M169="pipe"),INDEX('Scheme cost allocation'!$D$21:$D$42,MATCH(IF(MONTH(E169)&lt;7,YEAR(E169),YEAR(E169)+1),'Scheme cost allocation'!$C$21:$C$42,0))*'Scheme cost allocation'!$J$21,'Scheme cost allocation'!$J$21),'Scheme cost allocation'!$J$21)</f>
        <v>0.90850599752846017</v>
      </c>
      <c r="K169" s="47"/>
      <c r="L169" s="169">
        <v>3.65830561873</v>
      </c>
      <c r="M169" s="175" t="s">
        <v>191</v>
      </c>
      <c r="N169" s="169">
        <v>3996.536336679088</v>
      </c>
      <c r="O169" s="143">
        <f t="shared" si="6"/>
        <v>14620.551335931719</v>
      </c>
      <c r="P169" s="144">
        <f t="shared" si="7"/>
        <v>13282.858575866707</v>
      </c>
    </row>
    <row r="170" spans="3:16" x14ac:dyDescent="0.2">
      <c r="C170" s="145"/>
      <c r="D170" s="164" t="s">
        <v>280</v>
      </c>
      <c r="E170" s="137">
        <v>38925</v>
      </c>
      <c r="F170" s="172" t="str">
        <f t="shared" si="9"/>
        <v>2006-07</v>
      </c>
      <c r="H170" s="173" t="s">
        <v>190</v>
      </c>
      <c r="I170" s="174">
        <v>25184.239534746859</v>
      </c>
      <c r="J170" s="168">
        <f>IF(E170&lt;DATE(2016,1,1),IF(OR(M170="metres",M170="pipe"),INDEX('Scheme cost allocation'!$D$21:$D$42,MATCH(IF(MONTH(E170)&lt;7,YEAR(E170),YEAR(E170)+1),'Scheme cost allocation'!$C$21:$C$42,0))*'Scheme cost allocation'!$J$21,'Scheme cost allocation'!$J$21),'Scheme cost allocation'!$J$21)</f>
        <v>0.90850599752846017</v>
      </c>
      <c r="K170" s="47"/>
      <c r="L170" s="169">
        <v>18.693807147200001</v>
      </c>
      <c r="M170" s="175" t="s">
        <v>191</v>
      </c>
      <c r="N170" s="169">
        <v>10457.043873565381</v>
      </c>
      <c r="O170" s="143">
        <f t="shared" si="6"/>
        <v>195481.96150224051</v>
      </c>
      <c r="P170" s="144">
        <f t="shared" si="7"/>
        <v>177596.53443341306</v>
      </c>
    </row>
    <row r="171" spans="3:16" x14ac:dyDescent="0.2">
      <c r="C171" s="145"/>
      <c r="D171" s="164" t="s">
        <v>281</v>
      </c>
      <c r="E171" s="137">
        <v>38925</v>
      </c>
      <c r="F171" s="172" t="str">
        <f t="shared" si="9"/>
        <v>2006-07</v>
      </c>
      <c r="H171" s="173" t="s">
        <v>190</v>
      </c>
      <c r="I171" s="174">
        <v>25184.239534746859</v>
      </c>
      <c r="J171" s="168">
        <f>IF(E171&lt;DATE(2016,1,1),IF(OR(M171="metres",M171="pipe"),INDEX('Scheme cost allocation'!$D$21:$D$42,MATCH(IF(MONTH(E171)&lt;7,YEAR(E171),YEAR(E171)+1),'Scheme cost allocation'!$C$21:$C$42,0))*'Scheme cost allocation'!$J$21,'Scheme cost allocation'!$J$21),'Scheme cost allocation'!$J$21)</f>
        <v>0.90850599752846017</v>
      </c>
      <c r="K171" s="47"/>
      <c r="L171" s="169">
        <v>22.566493731200001</v>
      </c>
      <c r="M171" s="175" t="s">
        <v>191</v>
      </c>
      <c r="N171" s="169">
        <v>8276.2670852888987</v>
      </c>
      <c r="O171" s="143">
        <f t="shared" si="6"/>
        <v>186766.32929790884</v>
      </c>
      <c r="P171" s="144">
        <f t="shared" si="7"/>
        <v>169678.33030352555</v>
      </c>
    </row>
    <row r="172" spans="3:16" x14ac:dyDescent="0.2">
      <c r="C172" s="145"/>
      <c r="D172" s="164" t="s">
        <v>282</v>
      </c>
      <c r="E172" s="137">
        <v>38930</v>
      </c>
      <c r="F172" s="172" t="str">
        <f t="shared" si="9"/>
        <v>2006-07</v>
      </c>
      <c r="H172" s="173" t="s">
        <v>190</v>
      </c>
      <c r="I172" s="174">
        <v>25184.239534746859</v>
      </c>
      <c r="J172" s="168">
        <f>IF(E172&lt;DATE(2016,1,1),IF(OR(M172="metres",M172="pipe"),INDEX('Scheme cost allocation'!$D$21:$D$42,MATCH(IF(MONTH(E172)&lt;7,YEAR(E172),YEAR(E172)+1),'Scheme cost allocation'!$C$21:$C$42,0))*'Scheme cost allocation'!$J$21,'Scheme cost allocation'!$J$21),'Scheme cost allocation'!$J$21)</f>
        <v>0.90850599752846017</v>
      </c>
      <c r="K172" s="47"/>
      <c r="L172" s="169">
        <v>23.079667464100002</v>
      </c>
      <c r="M172" s="175" t="s">
        <v>191</v>
      </c>
      <c r="N172" s="169">
        <v>6259.6719033422005</v>
      </c>
      <c r="O172" s="143">
        <f t="shared" si="6"/>
        <v>144471.14596350791</v>
      </c>
      <c r="P172" s="144">
        <f t="shared" si="7"/>
        <v>131252.90257765652</v>
      </c>
    </row>
    <row r="173" spans="3:16" x14ac:dyDescent="0.2">
      <c r="C173" s="145"/>
      <c r="D173" s="164" t="s">
        <v>283</v>
      </c>
      <c r="E173" s="137">
        <v>39520</v>
      </c>
      <c r="F173" s="172" t="str">
        <f t="shared" si="9"/>
        <v>2007-08</v>
      </c>
      <c r="H173" s="173" t="s">
        <v>190</v>
      </c>
      <c r="I173" s="174">
        <v>25184.239534746859</v>
      </c>
      <c r="J173" s="168">
        <f>IF(E173&lt;DATE(2016,1,1),IF(OR(M173="metres",M173="pipe"),INDEX('Scheme cost allocation'!$D$21:$D$42,MATCH(IF(MONTH(E173)&lt;7,YEAR(E173),YEAR(E173)+1),'Scheme cost allocation'!$C$21:$C$42,0))*'Scheme cost allocation'!$J$21,'Scheme cost allocation'!$J$21),'Scheme cost allocation'!$J$21)</f>
        <v>0.90850599752846017</v>
      </c>
      <c r="K173" s="47"/>
      <c r="L173" s="169">
        <v>7.4647315570500004</v>
      </c>
      <c r="M173" s="175" t="s">
        <v>191</v>
      </c>
      <c r="N173" s="169">
        <v>397.28256785825243</v>
      </c>
      <c r="O173" s="143">
        <f t="shared" si="6"/>
        <v>2965.6077213573553</v>
      </c>
      <c r="P173" s="144">
        <f t="shared" si="7"/>
        <v>2694.2724011698679</v>
      </c>
    </row>
    <row r="174" spans="3:16" x14ac:dyDescent="0.2">
      <c r="C174" s="145"/>
      <c r="D174" s="164" t="s">
        <v>283</v>
      </c>
      <c r="E174" s="137">
        <v>39520</v>
      </c>
      <c r="F174" s="172" t="str">
        <f t="shared" si="9"/>
        <v>2007-08</v>
      </c>
      <c r="H174" s="173" t="s">
        <v>190</v>
      </c>
      <c r="I174" s="174">
        <v>25184.239534746859</v>
      </c>
      <c r="J174" s="168">
        <f>IF(E174&lt;DATE(2016,1,1),IF(OR(M174="metres",M174="pipe"),INDEX('Scheme cost allocation'!$D$21:$D$42,MATCH(IF(MONTH(E174)&lt;7,YEAR(E174),YEAR(E174)+1),'Scheme cost allocation'!$C$21:$C$42,0))*'Scheme cost allocation'!$J$21,'Scheme cost allocation'!$J$21),'Scheme cost allocation'!$J$21)</f>
        <v>0.90850599752846017</v>
      </c>
      <c r="K174" s="47"/>
      <c r="L174" s="169">
        <v>97.0700167456</v>
      </c>
      <c r="M174" s="175" t="s">
        <v>191</v>
      </c>
      <c r="N174" s="169">
        <v>397.28256785825243</v>
      </c>
      <c r="O174" s="143">
        <f t="shared" si="6"/>
        <v>38564.225514735532</v>
      </c>
      <c r="P174" s="144">
        <f t="shared" si="7"/>
        <v>35035.830170177302</v>
      </c>
    </row>
    <row r="175" spans="3:16" x14ac:dyDescent="0.2">
      <c r="C175" s="145"/>
      <c r="D175" s="164" t="s">
        <v>254</v>
      </c>
      <c r="E175" s="137">
        <v>39534</v>
      </c>
      <c r="F175" s="172" t="str">
        <f t="shared" si="9"/>
        <v>2007-08</v>
      </c>
      <c r="H175" s="173" t="s">
        <v>190</v>
      </c>
      <c r="I175" s="174">
        <v>25184.239534746859</v>
      </c>
      <c r="J175" s="168">
        <f>IF(E175&lt;DATE(2016,1,1),IF(OR(M175="metres",M175="pipe"),INDEX('Scheme cost allocation'!$D$21:$D$42,MATCH(IF(MONTH(E175)&lt;7,YEAR(E175),YEAR(E175)+1),'Scheme cost allocation'!$C$21:$C$42,0))*'Scheme cost allocation'!$J$21,'Scheme cost allocation'!$J$21),'Scheme cost allocation'!$J$21)</f>
        <v>0.90850599752846017</v>
      </c>
      <c r="K175" s="47"/>
      <c r="L175" s="169">
        <v>8.3291326079000001</v>
      </c>
      <c r="M175" s="175" t="s">
        <v>191</v>
      </c>
      <c r="N175" s="169">
        <v>5553.7670880991827</v>
      </c>
      <c r="O175" s="143">
        <f t="shared" si="6"/>
        <v>46258.062550168732</v>
      </c>
      <c r="P175" s="144">
        <f t="shared" si="7"/>
        <v>42025.727260874948</v>
      </c>
    </row>
    <row r="176" spans="3:16" x14ac:dyDescent="0.2">
      <c r="C176" s="145"/>
      <c r="D176" s="164" t="s">
        <v>216</v>
      </c>
      <c r="E176" s="137">
        <v>39534</v>
      </c>
      <c r="F176" s="172" t="str">
        <f t="shared" si="9"/>
        <v>2007-08</v>
      </c>
      <c r="H176" s="173" t="s">
        <v>190</v>
      </c>
      <c r="I176" s="174">
        <v>25184.239534746859</v>
      </c>
      <c r="J176" s="168">
        <f>IF(E176&lt;DATE(2016,1,1),IF(OR(M176="metres",M176="pipe"),INDEX('Scheme cost allocation'!$D$21:$D$42,MATCH(IF(MONTH(E176)&lt;7,YEAR(E176),YEAR(E176)+1),'Scheme cost allocation'!$C$21:$C$42,0))*'Scheme cost allocation'!$J$21,'Scheme cost allocation'!$J$21),'Scheme cost allocation'!$J$21)</f>
        <v>0.90850599752846017</v>
      </c>
      <c r="K176" s="47"/>
      <c r="L176" s="169">
        <v>2.7362567496499999</v>
      </c>
      <c r="M176" s="175" t="s">
        <v>191</v>
      </c>
      <c r="N176" s="169">
        <v>2687.7084772843823</v>
      </c>
      <c r="O176" s="143">
        <f t="shared" si="6"/>
        <v>7354.2604620609145</v>
      </c>
      <c r="P176" s="144">
        <f t="shared" si="7"/>
        <v>6681.3897371687654</v>
      </c>
    </row>
    <row r="177" spans="3:16" x14ac:dyDescent="0.2">
      <c r="C177" s="145"/>
      <c r="D177" s="164" t="s">
        <v>216</v>
      </c>
      <c r="E177" s="137">
        <v>39534</v>
      </c>
      <c r="F177" s="172" t="str">
        <f t="shared" si="9"/>
        <v>2007-08</v>
      </c>
      <c r="H177" s="173" t="s">
        <v>190</v>
      </c>
      <c r="I177" s="174">
        <v>25184.239534746859</v>
      </c>
      <c r="J177" s="168">
        <f>IF(E177&lt;DATE(2016,1,1),IF(OR(M177="metres",M177="pipe"),INDEX('Scheme cost allocation'!$D$21:$D$42,MATCH(IF(MONTH(E177)&lt;7,YEAR(E177),YEAR(E177)+1),'Scheme cost allocation'!$C$21:$C$42,0))*'Scheme cost allocation'!$J$21,'Scheme cost allocation'!$J$21),'Scheme cost allocation'!$J$21)</f>
        <v>0.90850599752846017</v>
      </c>
      <c r="K177" s="47"/>
      <c r="L177" s="169">
        <v>2.1931548052999998</v>
      </c>
      <c r="M177" s="175" t="s">
        <v>191</v>
      </c>
      <c r="N177" s="169">
        <v>2687.7084772843823</v>
      </c>
      <c r="O177" s="143">
        <f t="shared" si="6"/>
        <v>5894.5607622017887</v>
      </c>
      <c r="P177" s="144">
        <f t="shared" si="7"/>
        <v>5355.2438052562566</v>
      </c>
    </row>
    <row r="178" spans="3:16" x14ac:dyDescent="0.2">
      <c r="C178" s="145"/>
      <c r="D178" s="164" t="s">
        <v>216</v>
      </c>
      <c r="E178" s="137">
        <v>39534</v>
      </c>
      <c r="F178" s="172" t="str">
        <f t="shared" si="9"/>
        <v>2007-08</v>
      </c>
      <c r="H178" s="173" t="s">
        <v>190</v>
      </c>
      <c r="I178" s="174">
        <v>25184.239534746859</v>
      </c>
      <c r="J178" s="168">
        <f>IF(E178&lt;DATE(2016,1,1),IF(OR(M178="metres",M178="pipe"),INDEX('Scheme cost allocation'!$D$21:$D$42,MATCH(IF(MONTH(E178)&lt;7,YEAR(E178),YEAR(E178)+1),'Scheme cost allocation'!$C$21:$C$42,0))*'Scheme cost allocation'!$J$21,'Scheme cost allocation'!$J$21),'Scheme cost allocation'!$J$21)</f>
        <v>0.90850599752846017</v>
      </c>
      <c r="K178" s="47"/>
      <c r="L178" s="169">
        <v>1.3117049973199999</v>
      </c>
      <c r="M178" s="175" t="s">
        <v>191</v>
      </c>
      <c r="N178" s="169">
        <v>2687.7084772843823</v>
      </c>
      <c r="O178" s="143">
        <f t="shared" si="6"/>
        <v>3525.4806409932517</v>
      </c>
      <c r="P178" s="144">
        <f t="shared" si="7"/>
        <v>3202.9203065128495</v>
      </c>
    </row>
    <row r="179" spans="3:16" x14ac:dyDescent="0.2">
      <c r="C179" s="145"/>
      <c r="D179" s="164" t="s">
        <v>284</v>
      </c>
      <c r="E179" s="137">
        <v>39534</v>
      </c>
      <c r="F179" s="172" t="str">
        <f t="shared" si="9"/>
        <v>2007-08</v>
      </c>
      <c r="H179" s="173" t="s">
        <v>190</v>
      </c>
      <c r="I179" s="174">
        <v>25184.239534746859</v>
      </c>
      <c r="J179" s="168">
        <f>IF(E179&lt;DATE(2016,1,1),IF(OR(M179="metres",M179="pipe"),INDEX('Scheme cost allocation'!$D$21:$D$42,MATCH(IF(MONTH(E179)&lt;7,YEAR(E179),YEAR(E179)+1),'Scheme cost allocation'!$C$21:$C$42,0))*'Scheme cost allocation'!$J$21,'Scheme cost allocation'!$J$21),'Scheme cost allocation'!$J$21)</f>
        <v>0.90850599752846017</v>
      </c>
      <c r="K179" s="47"/>
      <c r="L179" s="169">
        <v>3.3280637013100001</v>
      </c>
      <c r="M179" s="175" t="s">
        <v>191</v>
      </c>
      <c r="N179" s="169">
        <v>8355.3686377769263</v>
      </c>
      <c r="O179" s="143">
        <f t="shared" si="6"/>
        <v>27807.199074449371</v>
      </c>
      <c r="P179" s="144">
        <f t="shared" si="7"/>
        <v>25263.007133605101</v>
      </c>
    </row>
    <row r="180" spans="3:16" x14ac:dyDescent="0.2">
      <c r="C180" s="145"/>
      <c r="D180" s="164" t="s">
        <v>285</v>
      </c>
      <c r="E180" s="137">
        <v>39534</v>
      </c>
      <c r="F180" s="172" t="str">
        <f t="shared" si="9"/>
        <v>2007-08</v>
      </c>
      <c r="H180" s="173" t="s">
        <v>190</v>
      </c>
      <c r="I180" s="174">
        <v>25184.239534746859</v>
      </c>
      <c r="J180" s="168">
        <f>IF(E180&lt;DATE(2016,1,1),IF(OR(M180="metres",M180="pipe"),INDEX('Scheme cost allocation'!$D$21:$D$42,MATCH(IF(MONTH(E180)&lt;7,YEAR(E180),YEAR(E180)+1),'Scheme cost allocation'!$C$21:$C$42,0))*'Scheme cost allocation'!$J$21,'Scheme cost allocation'!$J$21),'Scheme cost allocation'!$J$21)</f>
        <v>0.90850599752846017</v>
      </c>
      <c r="K180" s="47"/>
      <c r="L180" s="169">
        <v>28.9390895676</v>
      </c>
      <c r="M180" s="175" t="s">
        <v>191</v>
      </c>
      <c r="N180" s="169">
        <v>6425.5335483187491</v>
      </c>
      <c r="O180" s="143">
        <f t="shared" si="6"/>
        <v>185949.09087441492</v>
      </c>
      <c r="P180" s="144">
        <f t="shared" si="7"/>
        <v>168935.86429437061</v>
      </c>
    </row>
    <row r="181" spans="3:16" x14ac:dyDescent="0.2">
      <c r="C181" s="145"/>
      <c r="D181" s="164" t="s">
        <v>254</v>
      </c>
      <c r="E181" s="137">
        <v>39534</v>
      </c>
      <c r="F181" s="172" t="str">
        <f t="shared" si="9"/>
        <v>2007-08</v>
      </c>
      <c r="H181" s="173" t="s">
        <v>190</v>
      </c>
      <c r="I181" s="174">
        <v>25184.239534746859</v>
      </c>
      <c r="J181" s="168">
        <f>IF(E181&lt;DATE(2016,1,1),IF(OR(M181="metres",M181="pipe"),INDEX('Scheme cost allocation'!$D$21:$D$42,MATCH(IF(MONTH(E181)&lt;7,YEAR(E181),YEAR(E181)+1),'Scheme cost allocation'!$C$21:$C$42,0))*'Scheme cost allocation'!$J$21,'Scheme cost allocation'!$J$21),'Scheme cost allocation'!$J$21)</f>
        <v>0.90850599752846017</v>
      </c>
      <c r="K181" s="47"/>
      <c r="L181" s="169">
        <v>15.914623244</v>
      </c>
      <c r="M181" s="175" t="s">
        <v>191</v>
      </c>
      <c r="N181" s="169">
        <v>5553.7670880991827</v>
      </c>
      <c r="O181" s="143">
        <f t="shared" si="6"/>
        <v>88386.110792025444</v>
      </c>
      <c r="P181" s="144">
        <f t="shared" si="7"/>
        <v>80299.311752770082</v>
      </c>
    </row>
    <row r="182" spans="3:16" x14ac:dyDescent="0.2">
      <c r="C182" s="145"/>
      <c r="D182" s="164" t="s">
        <v>254</v>
      </c>
      <c r="E182" s="137">
        <v>39534</v>
      </c>
      <c r="F182" s="172" t="str">
        <f t="shared" si="9"/>
        <v>2007-08</v>
      </c>
      <c r="H182" s="173" t="s">
        <v>190</v>
      </c>
      <c r="I182" s="174">
        <v>25184.239534746859</v>
      </c>
      <c r="J182" s="168">
        <f>IF(E182&lt;DATE(2016,1,1),IF(OR(M182="metres",M182="pipe"),INDEX('Scheme cost allocation'!$D$21:$D$42,MATCH(IF(MONTH(E182)&lt;7,YEAR(E182),YEAR(E182)+1),'Scheme cost allocation'!$C$21:$C$42,0))*'Scheme cost allocation'!$J$21,'Scheme cost allocation'!$J$21),'Scheme cost allocation'!$J$21)</f>
        <v>0.90850599752846017</v>
      </c>
      <c r="K182" s="47"/>
      <c r="L182" s="169">
        <v>3.4823971628799999</v>
      </c>
      <c r="M182" s="175" t="s">
        <v>191</v>
      </c>
      <c r="N182" s="169">
        <v>5553.7670880991818</v>
      </c>
      <c r="O182" s="143">
        <f t="shared" si="6"/>
        <v>19340.422750892911</v>
      </c>
      <c r="P182" s="144">
        <f t="shared" si="7"/>
        <v>17570.890063922088</v>
      </c>
    </row>
    <row r="183" spans="3:16" x14ac:dyDescent="0.2">
      <c r="C183" s="145"/>
      <c r="D183" s="164" t="s">
        <v>284</v>
      </c>
      <c r="E183" s="137">
        <v>39658</v>
      </c>
      <c r="F183" s="172" t="str">
        <f t="shared" si="9"/>
        <v>2008-09</v>
      </c>
      <c r="H183" s="173" t="s">
        <v>190</v>
      </c>
      <c r="I183" s="174">
        <v>25184.239534746859</v>
      </c>
      <c r="J183" s="168">
        <f>IF(E183&lt;DATE(2016,1,1),IF(OR(M183="metres",M183="pipe"),INDEX('Scheme cost allocation'!$D$21:$D$42,MATCH(IF(MONTH(E183)&lt;7,YEAR(E183),YEAR(E183)+1),'Scheme cost allocation'!$C$21:$C$42,0))*'Scheme cost allocation'!$J$21,'Scheme cost allocation'!$J$21),'Scheme cost allocation'!$J$21)</f>
        <v>0.90850599752846017</v>
      </c>
      <c r="K183" s="47"/>
      <c r="L183" s="169">
        <v>4.9982523947099997</v>
      </c>
      <c r="M183" s="175" t="s">
        <v>191</v>
      </c>
      <c r="N183" s="169">
        <v>8355.3686377769282</v>
      </c>
      <c r="O183" s="143">
        <f t="shared" si="6"/>
        <v>41762.24130245336</v>
      </c>
      <c r="P183" s="144">
        <f t="shared" si="7"/>
        <v>37941.246693509653</v>
      </c>
    </row>
    <row r="184" spans="3:16" x14ac:dyDescent="0.2">
      <c r="C184" s="145"/>
      <c r="D184" s="164" t="s">
        <v>255</v>
      </c>
      <c r="E184" s="137">
        <v>40405</v>
      </c>
      <c r="F184" s="172" t="str">
        <f t="shared" si="9"/>
        <v>2010-11</v>
      </c>
      <c r="H184" s="173" t="s">
        <v>190</v>
      </c>
      <c r="I184" s="174">
        <v>25184.239534746859</v>
      </c>
      <c r="J184" s="168">
        <f>IF(E184&lt;DATE(2016,1,1),IF(OR(M184="metres",M184="pipe"),INDEX('Scheme cost allocation'!$D$21:$D$42,MATCH(IF(MONTH(E184)&lt;7,YEAR(E184),YEAR(E184)+1),'Scheme cost allocation'!$C$21:$C$42,0))*'Scheme cost allocation'!$J$21,'Scheme cost allocation'!$J$21),'Scheme cost allocation'!$J$21)</f>
        <v>0.90850599752846017</v>
      </c>
      <c r="K184" s="47"/>
      <c r="L184" s="169">
        <v>11.7115148893</v>
      </c>
      <c r="M184" s="175" t="s">
        <v>191</v>
      </c>
      <c r="N184" s="169">
        <v>2991.6276710056786</v>
      </c>
      <c r="O184" s="143">
        <f t="shared" si="6"/>
        <v>35036.492012224888</v>
      </c>
      <c r="P184" s="144">
        <f t="shared" si="7"/>
        <v>31830.863125464297</v>
      </c>
    </row>
    <row r="185" spans="3:16" x14ac:dyDescent="0.2">
      <c r="C185" s="145"/>
      <c r="D185" s="164" t="s">
        <v>255</v>
      </c>
      <c r="E185" s="137">
        <v>40405</v>
      </c>
      <c r="F185" s="172" t="str">
        <f t="shared" si="9"/>
        <v>2010-11</v>
      </c>
      <c r="H185" s="173" t="s">
        <v>190</v>
      </c>
      <c r="I185" s="174">
        <v>25184.239534746859</v>
      </c>
      <c r="J185" s="168">
        <f>IF(E185&lt;DATE(2016,1,1),IF(OR(M185="metres",M185="pipe"),INDEX('Scheme cost allocation'!$D$21:$D$42,MATCH(IF(MONTH(E185)&lt;7,YEAR(E185),YEAR(E185)+1),'Scheme cost allocation'!$C$21:$C$42,0))*'Scheme cost allocation'!$J$21,'Scheme cost allocation'!$J$21),'Scheme cost allocation'!$J$21)</f>
        <v>0.90850599752846017</v>
      </c>
      <c r="K185" s="47"/>
      <c r="L185" s="169">
        <v>9.0940092918400008</v>
      </c>
      <c r="M185" s="175" t="s">
        <v>191</v>
      </c>
      <c r="N185" s="169">
        <v>2991.6276710056786</v>
      </c>
      <c r="O185" s="143">
        <f t="shared" si="6"/>
        <v>27205.889837851304</v>
      </c>
      <c r="P185" s="144">
        <f t="shared" si="7"/>
        <v>24716.714085786498</v>
      </c>
    </row>
    <row r="186" spans="3:16" x14ac:dyDescent="0.2">
      <c r="C186" s="145"/>
      <c r="D186" s="164" t="s">
        <v>254</v>
      </c>
      <c r="E186" s="137">
        <v>40405</v>
      </c>
      <c r="F186" s="172" t="str">
        <f t="shared" si="9"/>
        <v>2010-11</v>
      </c>
      <c r="H186" s="173" t="s">
        <v>190</v>
      </c>
      <c r="I186" s="174">
        <v>25184.239534746859</v>
      </c>
      <c r="J186" s="168">
        <f>IF(E186&lt;DATE(2016,1,1),IF(OR(M186="metres",M186="pipe"),INDEX('Scheme cost allocation'!$D$21:$D$42,MATCH(IF(MONTH(E186)&lt;7,YEAR(E186),YEAR(E186)+1),'Scheme cost allocation'!$C$21:$C$42,0))*'Scheme cost allocation'!$J$21,'Scheme cost allocation'!$J$21),'Scheme cost allocation'!$J$21)</f>
        <v>0.90850599752846017</v>
      </c>
      <c r="K186" s="47"/>
      <c r="L186" s="169">
        <v>18.589962587399999</v>
      </c>
      <c r="M186" s="175" t="s">
        <v>191</v>
      </c>
      <c r="N186" s="169">
        <v>5553.7670880991827</v>
      </c>
      <c r="O186" s="143">
        <f t="shared" si="6"/>
        <v>103244.32238689724</v>
      </c>
      <c r="P186" s="144">
        <f t="shared" si="7"/>
        <v>93798.086099258013</v>
      </c>
    </row>
    <row r="187" spans="3:16" x14ac:dyDescent="0.2">
      <c r="C187" s="145"/>
      <c r="D187" s="164" t="s">
        <v>286</v>
      </c>
      <c r="E187" s="137">
        <v>42058</v>
      </c>
      <c r="F187" s="172" t="str">
        <f t="shared" si="9"/>
        <v>2014-15</v>
      </c>
      <c r="H187" s="173" t="s">
        <v>190</v>
      </c>
      <c r="I187" s="174">
        <v>25184.239534746859</v>
      </c>
      <c r="J187" s="168">
        <f>IF(E187&lt;DATE(2016,1,1),IF(OR(M187="metres",M187="pipe"),INDEX('Scheme cost allocation'!$D$21:$D$42,MATCH(IF(MONTH(E187)&lt;7,YEAR(E187),YEAR(E187)+1),'Scheme cost allocation'!$C$21:$C$42,0))*'Scheme cost allocation'!$J$21,'Scheme cost allocation'!$J$21),'Scheme cost allocation'!$J$21)</f>
        <v>0.72658194294694356</v>
      </c>
      <c r="K187" s="47"/>
      <c r="L187" s="169">
        <v>8.4729452966499998</v>
      </c>
      <c r="M187" s="175" t="s">
        <v>191</v>
      </c>
      <c r="N187" s="169">
        <v>3646.0416007030317</v>
      </c>
      <c r="O187" s="143">
        <f t="shared" si="6"/>
        <v>30892.711032066989</v>
      </c>
      <c r="P187" s="144">
        <f t="shared" si="7"/>
        <v>22446.086004577712</v>
      </c>
    </row>
    <row r="188" spans="3:16" x14ac:dyDescent="0.2">
      <c r="C188" s="145"/>
      <c r="D188" s="164" t="s">
        <v>255</v>
      </c>
      <c r="E188" s="137">
        <v>42187</v>
      </c>
      <c r="F188" s="172" t="str">
        <f t="shared" si="9"/>
        <v>2015-16</v>
      </c>
      <c r="H188" s="173" t="s">
        <v>190</v>
      </c>
      <c r="I188" s="174">
        <v>25184.239534746859</v>
      </c>
      <c r="J188" s="168">
        <f>IF(E188&lt;DATE(2016,1,1),IF(OR(M188="metres",M188="pipe"),INDEX('Scheme cost allocation'!$D$21:$D$42,MATCH(IF(MONTH(E188)&lt;7,YEAR(E188),YEAR(E188)+1),'Scheme cost allocation'!$C$21:$C$42,0))*'Scheme cost allocation'!$J$21,'Scheme cost allocation'!$J$21),'Scheme cost allocation'!$J$21)</f>
        <v>0.10924853999891457</v>
      </c>
      <c r="K188" s="47"/>
      <c r="L188" s="169">
        <v>11.341668483999999</v>
      </c>
      <c r="M188" s="175" t="s">
        <v>191</v>
      </c>
      <c r="N188" s="169">
        <v>2991.6276710056786</v>
      </c>
      <c r="O188" s="143">
        <f t="shared" si="6"/>
        <v>33930.049272107426</v>
      </c>
      <c r="P188" s="144">
        <f t="shared" si="7"/>
        <v>3706.8083450689701</v>
      </c>
    </row>
    <row r="189" spans="3:16" x14ac:dyDescent="0.2">
      <c r="C189" s="145"/>
      <c r="D189" s="164" t="s">
        <v>279</v>
      </c>
      <c r="E189" s="137">
        <v>42187</v>
      </c>
      <c r="F189" s="172" t="str">
        <f t="shared" si="9"/>
        <v>2015-16</v>
      </c>
      <c r="H189" s="173" t="s">
        <v>190</v>
      </c>
      <c r="I189" s="174">
        <v>25184.239534746859</v>
      </c>
      <c r="J189" s="168">
        <f>IF(E189&lt;DATE(2016,1,1),IF(OR(M189="metres",M189="pipe"),INDEX('Scheme cost allocation'!$D$21:$D$42,MATCH(IF(MONTH(E189)&lt;7,YEAR(E189),YEAR(E189)+1),'Scheme cost allocation'!$C$21:$C$42,0))*'Scheme cost allocation'!$J$21,'Scheme cost allocation'!$J$21),'Scheme cost allocation'!$J$21)</f>
        <v>0.10924853999891457</v>
      </c>
      <c r="K189" s="47"/>
      <c r="L189" s="169">
        <v>0.71996944379600003</v>
      </c>
      <c r="M189" s="175" t="s">
        <v>191</v>
      </c>
      <c r="N189" s="169">
        <v>3996.536336679088</v>
      </c>
      <c r="O189" s="143">
        <f t="shared" si="6"/>
        <v>2877.3840434293465</v>
      </c>
      <c r="P189" s="144">
        <f t="shared" si="7"/>
        <v>314.3500057608295</v>
      </c>
    </row>
    <row r="190" spans="3:16" x14ac:dyDescent="0.2">
      <c r="C190" s="145"/>
      <c r="D190" s="164" t="s">
        <v>232</v>
      </c>
      <c r="E190" s="137">
        <v>35257</v>
      </c>
      <c r="F190" s="172" t="str">
        <f t="shared" si="9"/>
        <v>1996-97</v>
      </c>
      <c r="H190" s="173" t="s">
        <v>190</v>
      </c>
      <c r="I190" s="174">
        <v>25184.239534746859</v>
      </c>
      <c r="J190" s="168">
        <f>IF(E190&lt;DATE(2016,1,1),IF(OR(M190="metres",M190="pipe"),INDEX('Scheme cost allocation'!$D$21:$D$42,MATCH(IF(MONTH(E190)&lt;7,YEAR(E190),YEAR(E190)+1),'Scheme cost allocation'!$C$21:$C$42,0))*'Scheme cost allocation'!$J$21,'Scheme cost allocation'!$J$21),'Scheme cost allocation'!$J$21)</f>
        <v>0.90850599752846017</v>
      </c>
      <c r="K190" s="47"/>
      <c r="L190" s="169">
        <v>1</v>
      </c>
      <c r="M190" s="175" t="s">
        <v>230</v>
      </c>
      <c r="N190" s="169">
        <v>419125.43954281427</v>
      </c>
      <c r="O190" s="143">
        <f t="shared" si="6"/>
        <v>419125.43954281427</v>
      </c>
      <c r="P190" s="144">
        <f t="shared" si="7"/>
        <v>380777.9755413988</v>
      </c>
    </row>
    <row r="191" spans="3:16" x14ac:dyDescent="0.2">
      <c r="C191" s="145"/>
      <c r="D191" s="164" t="s">
        <v>232</v>
      </c>
      <c r="E191" s="137">
        <v>35257</v>
      </c>
      <c r="F191" s="172" t="str">
        <f t="shared" si="9"/>
        <v>1996-97</v>
      </c>
      <c r="H191" s="173" t="s">
        <v>190</v>
      </c>
      <c r="I191" s="174">
        <v>25184.239534746859</v>
      </c>
      <c r="J191" s="168">
        <f>IF(E191&lt;DATE(2016,1,1),IF(OR(M191="metres",M191="pipe"),INDEX('Scheme cost allocation'!$D$21:$D$42,MATCH(IF(MONTH(E191)&lt;7,YEAR(E191),YEAR(E191)+1),'Scheme cost allocation'!$C$21:$C$42,0))*'Scheme cost allocation'!$J$21,'Scheme cost allocation'!$J$21),'Scheme cost allocation'!$J$21)</f>
        <v>0.90850599752846017</v>
      </c>
      <c r="K191" s="47"/>
      <c r="L191" s="169">
        <v>1</v>
      </c>
      <c r="M191" s="175" t="s">
        <v>230</v>
      </c>
      <c r="N191" s="169">
        <v>419125.43954281427</v>
      </c>
      <c r="O191" s="143">
        <f t="shared" si="6"/>
        <v>419125.43954281427</v>
      </c>
      <c r="P191" s="144">
        <f t="shared" si="7"/>
        <v>380777.9755413988</v>
      </c>
    </row>
    <row r="192" spans="3:16" x14ac:dyDescent="0.2">
      <c r="C192" s="145"/>
      <c r="D192" s="164" t="s">
        <v>232</v>
      </c>
      <c r="E192" s="137">
        <v>36861</v>
      </c>
      <c r="F192" s="172" t="str">
        <f t="shared" si="9"/>
        <v>2000-01</v>
      </c>
      <c r="H192" s="173" t="s">
        <v>190</v>
      </c>
      <c r="I192" s="174">
        <v>25184.239534746859</v>
      </c>
      <c r="J192" s="168">
        <f>IF(E192&lt;DATE(2016,1,1),IF(OR(M192="metres",M192="pipe"),INDEX('Scheme cost allocation'!$D$21:$D$42,MATCH(IF(MONTH(E192)&lt;7,YEAR(E192),YEAR(E192)+1),'Scheme cost allocation'!$C$21:$C$42,0))*'Scheme cost allocation'!$J$21,'Scheme cost allocation'!$J$21),'Scheme cost allocation'!$J$21)</f>
        <v>0.90850599752846017</v>
      </c>
      <c r="K192" s="47"/>
      <c r="L192" s="169">
        <v>1</v>
      </c>
      <c r="M192" s="175" t="s">
        <v>230</v>
      </c>
      <c r="N192" s="169">
        <v>718974.07415644813</v>
      </c>
      <c r="O192" s="143">
        <f t="shared" si="6"/>
        <v>718974.07415644813</v>
      </c>
      <c r="P192" s="144">
        <f t="shared" si="7"/>
        <v>653192.258438605</v>
      </c>
    </row>
    <row r="193" spans="3:16" x14ac:dyDescent="0.2">
      <c r="C193" s="145"/>
      <c r="D193" s="164" t="s">
        <v>232</v>
      </c>
      <c r="E193" s="137">
        <v>36861</v>
      </c>
      <c r="F193" s="172" t="str">
        <f t="shared" si="9"/>
        <v>2000-01</v>
      </c>
      <c r="H193" s="173" t="s">
        <v>190</v>
      </c>
      <c r="I193" s="174">
        <v>25184.239534746859</v>
      </c>
      <c r="J193" s="168">
        <f>IF(E193&lt;DATE(2016,1,1),IF(OR(M193="metres",M193="pipe"),INDEX('Scheme cost allocation'!$D$21:$D$42,MATCH(IF(MONTH(E193)&lt;7,YEAR(E193),YEAR(E193)+1),'Scheme cost allocation'!$C$21:$C$42,0))*'Scheme cost allocation'!$J$21,'Scheme cost allocation'!$J$21),'Scheme cost allocation'!$J$21)</f>
        <v>0.90850599752846017</v>
      </c>
      <c r="K193" s="47"/>
      <c r="L193" s="169">
        <v>1</v>
      </c>
      <c r="M193" s="175" t="s">
        <v>230</v>
      </c>
      <c r="N193" s="169">
        <v>718974.07415644813</v>
      </c>
      <c r="O193" s="143">
        <f t="shared" si="6"/>
        <v>718974.07415644813</v>
      </c>
      <c r="P193" s="144">
        <f t="shared" si="7"/>
        <v>653192.258438605</v>
      </c>
    </row>
    <row r="194" spans="3:16" x14ac:dyDescent="0.2">
      <c r="C194" s="145"/>
      <c r="D194" s="164" t="s">
        <v>232</v>
      </c>
      <c r="E194" s="137">
        <v>36931</v>
      </c>
      <c r="F194" s="172" t="str">
        <f t="shared" si="9"/>
        <v>2000-01</v>
      </c>
      <c r="H194" s="173" t="s">
        <v>190</v>
      </c>
      <c r="I194" s="174">
        <v>25184.239534746859</v>
      </c>
      <c r="J194" s="168">
        <f>IF(E194&lt;DATE(2016,1,1),IF(OR(M194="metres",M194="pipe"),INDEX('Scheme cost allocation'!$D$21:$D$42,MATCH(IF(MONTH(E194)&lt;7,YEAR(E194),YEAR(E194)+1),'Scheme cost allocation'!$C$21:$C$42,0))*'Scheme cost allocation'!$J$21,'Scheme cost allocation'!$J$21),'Scheme cost allocation'!$J$21)</f>
        <v>0.90850599752846017</v>
      </c>
      <c r="K194" s="47"/>
      <c r="L194" s="169">
        <v>1</v>
      </c>
      <c r="M194" s="175" t="s">
        <v>230</v>
      </c>
      <c r="N194" s="169">
        <v>2718517.1790109021</v>
      </c>
      <c r="O194" s="143">
        <f t="shared" si="6"/>
        <v>2718517.1790109021</v>
      </c>
      <c r="P194" s="144">
        <f t="shared" si="7"/>
        <v>2469789.1615155553</v>
      </c>
    </row>
    <row r="195" spans="3:16" x14ac:dyDescent="0.2">
      <c r="C195" s="145"/>
      <c r="D195" s="164" t="s">
        <v>229</v>
      </c>
      <c r="E195" s="137">
        <v>37117</v>
      </c>
      <c r="F195" s="172" t="str">
        <f t="shared" si="9"/>
        <v>2001-02</v>
      </c>
      <c r="H195" s="173" t="s">
        <v>190</v>
      </c>
      <c r="I195" s="174">
        <v>25184.239534746859</v>
      </c>
      <c r="J195" s="168">
        <f>IF(E195&lt;DATE(2016,1,1),IF(OR(M195="metres",M195="pipe"),INDEX('Scheme cost allocation'!$D$21:$D$42,MATCH(IF(MONTH(E195)&lt;7,YEAR(E195),YEAR(E195)+1),'Scheme cost allocation'!$C$21:$C$42,0))*'Scheme cost allocation'!$J$21,'Scheme cost allocation'!$J$21),'Scheme cost allocation'!$J$21)</f>
        <v>0.90850599752846017</v>
      </c>
      <c r="K195" s="47"/>
      <c r="L195" s="169">
        <v>1</v>
      </c>
      <c r="M195" s="175" t="s">
        <v>230</v>
      </c>
      <c r="N195" s="169">
        <v>419125.43954281427</v>
      </c>
      <c r="O195" s="143">
        <f t="shared" si="6"/>
        <v>419125.43954281427</v>
      </c>
      <c r="P195" s="144">
        <f t="shared" si="7"/>
        <v>380777.9755413988</v>
      </c>
    </row>
    <row r="196" spans="3:16" x14ac:dyDescent="0.2">
      <c r="C196" s="145"/>
      <c r="D196" s="164" t="s">
        <v>229</v>
      </c>
      <c r="E196" s="137">
        <v>37117</v>
      </c>
      <c r="F196" s="172" t="str">
        <f t="shared" si="9"/>
        <v>2001-02</v>
      </c>
      <c r="H196" s="173" t="s">
        <v>190</v>
      </c>
      <c r="I196" s="174">
        <v>25184.239534746859</v>
      </c>
      <c r="J196" s="168">
        <f>IF(E196&lt;DATE(2016,1,1),IF(OR(M196="metres",M196="pipe"),INDEX('Scheme cost allocation'!$D$21:$D$42,MATCH(IF(MONTH(E196)&lt;7,YEAR(E196),YEAR(E196)+1),'Scheme cost allocation'!$C$21:$C$42,0))*'Scheme cost allocation'!$J$21,'Scheme cost allocation'!$J$21),'Scheme cost allocation'!$J$21)</f>
        <v>0.90850599752846017</v>
      </c>
      <c r="K196" s="47"/>
      <c r="L196" s="169">
        <v>1</v>
      </c>
      <c r="M196" s="175" t="s">
        <v>230</v>
      </c>
      <c r="N196" s="169">
        <v>419125.43954281427</v>
      </c>
      <c r="O196" s="143">
        <f t="shared" si="6"/>
        <v>419125.43954281427</v>
      </c>
      <c r="P196" s="144">
        <f t="shared" si="7"/>
        <v>380777.9755413988</v>
      </c>
    </row>
    <row r="197" spans="3:16" x14ac:dyDescent="0.2">
      <c r="C197" s="145"/>
      <c r="D197" s="164" t="s">
        <v>229</v>
      </c>
      <c r="E197" s="137">
        <v>37117</v>
      </c>
      <c r="F197" s="172" t="str">
        <f t="shared" si="9"/>
        <v>2001-02</v>
      </c>
      <c r="H197" s="173" t="s">
        <v>190</v>
      </c>
      <c r="I197" s="174">
        <v>25184.239534746859</v>
      </c>
      <c r="J197" s="168">
        <f>IF(E197&lt;DATE(2016,1,1),IF(OR(M197="metres",M197="pipe"),INDEX('Scheme cost allocation'!$D$21:$D$42,MATCH(IF(MONTH(E197)&lt;7,YEAR(E197),YEAR(E197)+1),'Scheme cost allocation'!$C$21:$C$42,0))*'Scheme cost allocation'!$J$21,'Scheme cost allocation'!$J$21),'Scheme cost allocation'!$J$21)</f>
        <v>0.90850599752846017</v>
      </c>
      <c r="K197" s="47"/>
      <c r="L197" s="169">
        <v>1</v>
      </c>
      <c r="M197" s="175" t="s">
        <v>230</v>
      </c>
      <c r="N197" s="169">
        <v>419125.43954281427</v>
      </c>
      <c r="O197" s="143">
        <f t="shared" si="6"/>
        <v>419125.43954281427</v>
      </c>
      <c r="P197" s="144">
        <f t="shared" si="7"/>
        <v>380777.9755413988</v>
      </c>
    </row>
    <row r="198" spans="3:16" x14ac:dyDescent="0.2">
      <c r="C198" s="145"/>
      <c r="D198" s="164" t="s">
        <v>232</v>
      </c>
      <c r="E198" s="137">
        <v>37117</v>
      </c>
      <c r="F198" s="172" t="str">
        <f t="shared" si="9"/>
        <v>2001-02</v>
      </c>
      <c r="H198" s="173" t="s">
        <v>190</v>
      </c>
      <c r="I198" s="174">
        <v>25184.239534746859</v>
      </c>
      <c r="J198" s="168">
        <f>IF(E198&lt;DATE(2016,1,1),IF(OR(M198="metres",M198="pipe"),INDEX('Scheme cost allocation'!$D$21:$D$42,MATCH(IF(MONTH(E198)&lt;7,YEAR(E198),YEAR(E198)+1),'Scheme cost allocation'!$C$21:$C$42,0))*'Scheme cost allocation'!$J$21,'Scheme cost allocation'!$J$21),'Scheme cost allocation'!$J$21)</f>
        <v>0.90850599752846017</v>
      </c>
      <c r="K198" s="47"/>
      <c r="L198" s="169">
        <v>1</v>
      </c>
      <c r="M198" s="175" t="s">
        <v>230</v>
      </c>
      <c r="N198" s="169">
        <v>419125.43954281427</v>
      </c>
      <c r="O198" s="143">
        <f t="shared" si="6"/>
        <v>419125.43954281427</v>
      </c>
      <c r="P198" s="144">
        <f t="shared" si="7"/>
        <v>380777.9755413988</v>
      </c>
    </row>
    <row r="199" spans="3:16" x14ac:dyDescent="0.2">
      <c r="C199" s="145"/>
      <c r="D199" s="164" t="s">
        <v>232</v>
      </c>
      <c r="E199" s="137">
        <v>37442</v>
      </c>
      <c r="F199" s="172" t="str">
        <f t="shared" si="9"/>
        <v>2002-03</v>
      </c>
      <c r="H199" s="173" t="s">
        <v>190</v>
      </c>
      <c r="I199" s="174">
        <v>25184.239534746859</v>
      </c>
      <c r="J199" s="168">
        <f>IF(E199&lt;DATE(2016,1,1),IF(OR(M199="metres",M199="pipe"),INDEX('Scheme cost allocation'!$D$21:$D$42,MATCH(IF(MONTH(E199)&lt;7,YEAR(E199),YEAR(E199)+1),'Scheme cost allocation'!$C$21:$C$42,0))*'Scheme cost allocation'!$J$21,'Scheme cost allocation'!$J$21),'Scheme cost allocation'!$J$21)</f>
        <v>0.90850599752846017</v>
      </c>
      <c r="K199" s="47"/>
      <c r="L199" s="169">
        <v>1</v>
      </c>
      <c r="M199" s="175" t="s">
        <v>230</v>
      </c>
      <c r="N199" s="169">
        <v>419125.43954281427</v>
      </c>
      <c r="O199" s="143">
        <f t="shared" si="6"/>
        <v>419125.43954281427</v>
      </c>
      <c r="P199" s="144">
        <f t="shared" si="7"/>
        <v>380777.9755413988</v>
      </c>
    </row>
    <row r="200" spans="3:16" x14ac:dyDescent="0.2">
      <c r="C200" s="145"/>
      <c r="D200" s="164" t="s">
        <v>229</v>
      </c>
      <c r="E200" s="137">
        <v>37442</v>
      </c>
      <c r="F200" s="172" t="str">
        <f t="shared" si="9"/>
        <v>2002-03</v>
      </c>
      <c r="H200" s="173" t="s">
        <v>190</v>
      </c>
      <c r="I200" s="174">
        <v>25184.239534746859</v>
      </c>
      <c r="J200" s="168">
        <f>IF(E200&lt;DATE(2016,1,1),IF(OR(M200="metres",M200="pipe"),INDEX('Scheme cost allocation'!$D$21:$D$42,MATCH(IF(MONTH(E200)&lt;7,YEAR(E200),YEAR(E200)+1),'Scheme cost allocation'!$C$21:$C$42,0))*'Scheme cost allocation'!$J$21,'Scheme cost allocation'!$J$21),'Scheme cost allocation'!$J$21)</f>
        <v>0.90850599752846017</v>
      </c>
      <c r="K200" s="47"/>
      <c r="L200" s="169">
        <v>1</v>
      </c>
      <c r="M200" s="175" t="s">
        <v>230</v>
      </c>
      <c r="N200" s="169">
        <v>1398189.2133365031</v>
      </c>
      <c r="O200" s="143">
        <f t="shared" si="6"/>
        <v>1398189.2133365031</v>
      </c>
      <c r="P200" s="144">
        <f t="shared" si="7"/>
        <v>1270263.2859958129</v>
      </c>
    </row>
    <row r="201" spans="3:16" x14ac:dyDescent="0.2">
      <c r="C201" s="145"/>
      <c r="D201" s="164" t="s">
        <v>287</v>
      </c>
      <c r="E201" s="137">
        <v>37117</v>
      </c>
      <c r="F201" s="172" t="str">
        <f t="shared" si="9"/>
        <v>2001-02</v>
      </c>
      <c r="H201" s="173" t="s">
        <v>190</v>
      </c>
      <c r="I201" s="174">
        <v>25184.239534746859</v>
      </c>
      <c r="J201" s="168">
        <f>IF(E201&lt;DATE(2016,1,1),IF(OR(M201="metres",M201="pipe"),INDEX('Scheme cost allocation'!$D$21:$D$42,MATCH(IF(MONTH(E201)&lt;7,YEAR(E201),YEAR(E201)+1),'Scheme cost allocation'!$C$21:$C$42,0))*'Scheme cost allocation'!$J$21,'Scheme cost allocation'!$J$21),'Scheme cost allocation'!$J$21)</f>
        <v>0.90850599752846017</v>
      </c>
      <c r="K201" s="47"/>
      <c r="L201" s="169">
        <v>1</v>
      </c>
      <c r="M201" s="175" t="s">
        <v>234</v>
      </c>
      <c r="N201" s="169">
        <v>3386135.9638341265</v>
      </c>
      <c r="O201" s="143">
        <f t="shared" si="6"/>
        <v>3386135.9638341265</v>
      </c>
      <c r="P201" s="144">
        <f t="shared" si="7"/>
        <v>3076324.831590117</v>
      </c>
    </row>
    <row r="202" spans="3:16" x14ac:dyDescent="0.2">
      <c r="C202" s="145"/>
      <c r="D202" s="164" t="s">
        <v>288</v>
      </c>
      <c r="E202" s="137">
        <v>37117</v>
      </c>
      <c r="F202" s="172" t="str">
        <f t="shared" si="9"/>
        <v>2001-02</v>
      </c>
      <c r="H202" s="173" t="s">
        <v>190</v>
      </c>
      <c r="I202" s="174">
        <v>25184.239534746859</v>
      </c>
      <c r="J202" s="168">
        <f>IF(E202&lt;DATE(2016,1,1),IF(OR(M202="metres",M202="pipe"),INDEX('Scheme cost allocation'!$D$21:$D$42,MATCH(IF(MONTH(E202)&lt;7,YEAR(E202),YEAR(E202)+1),'Scheme cost allocation'!$C$21:$C$42,0))*'Scheme cost allocation'!$J$21,'Scheme cost allocation'!$J$21),'Scheme cost allocation'!$J$21)</f>
        <v>0.90850599752846017</v>
      </c>
      <c r="K202" s="47"/>
      <c r="L202" s="169">
        <v>1</v>
      </c>
      <c r="M202" s="175" t="s">
        <v>234</v>
      </c>
      <c r="N202" s="169">
        <v>3386135.9638341265</v>
      </c>
      <c r="O202" s="143">
        <f t="shared" si="6"/>
        <v>3386135.9638341265</v>
      </c>
      <c r="P202" s="144">
        <f t="shared" si="7"/>
        <v>3076324.831590117</v>
      </c>
    </row>
    <row r="203" spans="3:16" x14ac:dyDescent="0.2">
      <c r="C203" s="145"/>
      <c r="D203" s="164" t="s">
        <v>289</v>
      </c>
      <c r="E203" s="137">
        <v>37438</v>
      </c>
      <c r="F203" s="172" t="str">
        <f t="shared" si="9"/>
        <v>2002-03</v>
      </c>
      <c r="H203" s="173" t="s">
        <v>190</v>
      </c>
      <c r="I203" s="174">
        <v>25184.239534746859</v>
      </c>
      <c r="J203" s="168">
        <f>IF(E203&lt;DATE(2016,1,1),IF(OR(M203="metres",M203="pipe"),INDEX('Scheme cost allocation'!$D$21:$D$42,MATCH(IF(MONTH(E203)&lt;7,YEAR(E203),YEAR(E203)+1),'Scheme cost allocation'!$C$21:$C$42,0))*'Scheme cost allocation'!$J$21,'Scheme cost allocation'!$J$21),'Scheme cost allocation'!$J$21)</f>
        <v>0.90850599752846017</v>
      </c>
      <c r="K203" s="47"/>
      <c r="L203" s="169">
        <v>1</v>
      </c>
      <c r="M203" s="175" t="s">
        <v>234</v>
      </c>
      <c r="N203" s="169">
        <v>10015938.369469784</v>
      </c>
      <c r="O203" s="143">
        <f t="shared" si="6"/>
        <v>10015938.369469784</v>
      </c>
      <c r="P203" s="144">
        <f t="shared" si="7"/>
        <v>9099540.0795387253</v>
      </c>
    </row>
    <row r="204" spans="3:16" x14ac:dyDescent="0.2">
      <c r="C204" s="145"/>
      <c r="D204" s="164" t="s">
        <v>290</v>
      </c>
      <c r="E204" s="137">
        <v>37438</v>
      </c>
      <c r="F204" s="172" t="str">
        <f t="shared" si="9"/>
        <v>2002-03</v>
      </c>
      <c r="H204" s="173" t="s">
        <v>190</v>
      </c>
      <c r="I204" s="174">
        <v>25184.239534746859</v>
      </c>
      <c r="J204" s="168">
        <f>IF(E204&lt;DATE(2016,1,1),IF(OR(M204="metres",M204="pipe"),INDEX('Scheme cost allocation'!$D$21:$D$42,MATCH(IF(MONTH(E204)&lt;7,YEAR(E204),YEAR(E204)+1),'Scheme cost allocation'!$C$21:$C$42,0))*'Scheme cost allocation'!$J$21,'Scheme cost allocation'!$J$21),'Scheme cost allocation'!$J$21)</f>
        <v>0.90850599752846017</v>
      </c>
      <c r="K204" s="47"/>
      <c r="L204" s="169">
        <v>1</v>
      </c>
      <c r="M204" s="175" t="s">
        <v>234</v>
      </c>
      <c r="N204" s="169">
        <v>3386135.9621561756</v>
      </c>
      <c r="O204" s="143">
        <f t="shared" si="6"/>
        <v>3386135.9621561756</v>
      </c>
      <c r="P204" s="144">
        <f t="shared" si="7"/>
        <v>3076324.8300656886</v>
      </c>
    </row>
    <row r="205" spans="3:16" x14ac:dyDescent="0.2">
      <c r="C205" s="145"/>
      <c r="D205" s="164" t="s">
        <v>291</v>
      </c>
      <c r="E205" s="137">
        <v>38482</v>
      </c>
      <c r="F205" s="172" t="str">
        <f t="shared" si="9"/>
        <v>2004-05</v>
      </c>
      <c r="H205" s="173" t="s">
        <v>190</v>
      </c>
      <c r="I205" s="174">
        <v>25184.239534746859</v>
      </c>
      <c r="J205" s="168">
        <f>IF(E205&lt;DATE(2016,1,1),IF(OR(M205="metres",M205="pipe"),INDEX('Scheme cost allocation'!$D$21:$D$42,MATCH(IF(MONTH(E205)&lt;7,YEAR(E205),YEAR(E205)+1),'Scheme cost allocation'!$C$21:$C$42,0))*'Scheme cost allocation'!$J$21,'Scheme cost allocation'!$J$21),'Scheme cost allocation'!$J$21)</f>
        <v>0.90850599752846017</v>
      </c>
      <c r="K205" s="47"/>
      <c r="L205" s="169">
        <v>1</v>
      </c>
      <c r="M205" s="175" t="s">
        <v>234</v>
      </c>
      <c r="N205" s="169">
        <v>3742041.0518753668</v>
      </c>
      <c r="O205" s="143">
        <f t="shared" si="6"/>
        <v>3742041.0518753668</v>
      </c>
      <c r="P205" s="144">
        <f t="shared" si="7"/>
        <v>3399666.7386264787</v>
      </c>
    </row>
    <row r="206" spans="3:16" x14ac:dyDescent="0.2">
      <c r="C206" s="145"/>
      <c r="D206" s="164" t="s">
        <v>292</v>
      </c>
      <c r="E206" s="137">
        <v>38489</v>
      </c>
      <c r="F206" s="172" t="str">
        <f t="shared" si="9"/>
        <v>2004-05</v>
      </c>
      <c r="H206" s="173" t="s">
        <v>190</v>
      </c>
      <c r="I206" s="174">
        <v>25184.239534746859</v>
      </c>
      <c r="J206" s="168">
        <f>IF(E206&lt;DATE(2016,1,1),IF(OR(M206="metres",M206="pipe"),INDEX('Scheme cost allocation'!$D$21:$D$42,MATCH(IF(MONTH(E206)&lt;7,YEAR(E206),YEAR(E206)+1),'Scheme cost allocation'!$C$21:$C$42,0))*'Scheme cost allocation'!$J$21,'Scheme cost allocation'!$J$21),'Scheme cost allocation'!$J$21)</f>
        <v>0.90850599752846017</v>
      </c>
      <c r="K206" s="47"/>
      <c r="L206" s="169">
        <v>1</v>
      </c>
      <c r="M206" s="175" t="s">
        <v>234</v>
      </c>
      <c r="N206" s="169">
        <v>3386135.9638341265</v>
      </c>
      <c r="O206" s="143">
        <f t="shared" si="6"/>
        <v>3386135.9638341265</v>
      </c>
      <c r="P206" s="144">
        <f t="shared" si="7"/>
        <v>3076324.831590117</v>
      </c>
    </row>
    <row r="207" spans="3:16" x14ac:dyDescent="0.2">
      <c r="C207" s="145"/>
      <c r="D207" s="164" t="s">
        <v>293</v>
      </c>
      <c r="E207" s="137">
        <v>38596</v>
      </c>
      <c r="F207" s="172" t="str">
        <f t="shared" si="9"/>
        <v>2005-06</v>
      </c>
      <c r="H207" s="173" t="s">
        <v>190</v>
      </c>
      <c r="I207" s="174">
        <v>25184.239534746859</v>
      </c>
      <c r="J207" s="168">
        <f>IF(E207&lt;DATE(2016,1,1),IF(OR(M207="metres",M207="pipe"),INDEX('Scheme cost allocation'!$D$21:$D$42,MATCH(IF(MONTH(E207)&lt;7,YEAR(E207),YEAR(E207)+1),'Scheme cost allocation'!$C$21:$C$42,0))*'Scheme cost allocation'!$J$21,'Scheme cost allocation'!$J$21),'Scheme cost allocation'!$J$21)</f>
        <v>0.90850599752846017</v>
      </c>
      <c r="K207" s="47"/>
      <c r="L207" s="169">
        <v>1</v>
      </c>
      <c r="M207" s="175" t="s">
        <v>234</v>
      </c>
      <c r="N207" s="169">
        <v>8557898.709120905</v>
      </c>
      <c r="O207" s="143">
        <f t="shared" si="6"/>
        <v>8557898.709120905</v>
      </c>
      <c r="P207" s="144">
        <f t="shared" si="7"/>
        <v>7774902.3034774093</v>
      </c>
    </row>
    <row r="208" spans="3:16" x14ac:dyDescent="0.2">
      <c r="C208" s="145"/>
      <c r="D208" s="164" t="s">
        <v>294</v>
      </c>
      <c r="E208" s="137">
        <v>38919</v>
      </c>
      <c r="F208" s="172" t="str">
        <f t="shared" si="9"/>
        <v>2006-07</v>
      </c>
      <c r="H208" s="173" t="s">
        <v>190</v>
      </c>
      <c r="I208" s="174">
        <v>25184.239534746859</v>
      </c>
      <c r="J208" s="168">
        <f>IF(E208&lt;DATE(2016,1,1),IF(OR(M208="metres",M208="pipe"),INDEX('Scheme cost allocation'!$D$21:$D$42,MATCH(IF(MONTH(E208)&lt;7,YEAR(E208),YEAR(E208)+1),'Scheme cost allocation'!$C$21:$C$42,0))*'Scheme cost allocation'!$J$21,'Scheme cost allocation'!$J$21),'Scheme cost allocation'!$J$21)</f>
        <v>0.90850599752846017</v>
      </c>
      <c r="K208" s="47"/>
      <c r="L208" s="169">
        <v>1</v>
      </c>
      <c r="M208" s="175" t="s">
        <v>234</v>
      </c>
      <c r="N208" s="169">
        <v>10683027.057240831</v>
      </c>
      <c r="O208" s="143">
        <f t="shared" si="6"/>
        <v>10683027.057240831</v>
      </c>
      <c r="P208" s="144">
        <f t="shared" si="7"/>
        <v>9705594.1532621104</v>
      </c>
    </row>
    <row r="209" spans="3:16" x14ac:dyDescent="0.2">
      <c r="C209" s="145"/>
      <c r="D209" s="164" t="s">
        <v>295</v>
      </c>
      <c r="E209" s="137">
        <v>38925</v>
      </c>
      <c r="F209" s="172" t="str">
        <f t="shared" si="9"/>
        <v>2006-07</v>
      </c>
      <c r="H209" s="173" t="s">
        <v>190</v>
      </c>
      <c r="I209" s="174">
        <v>25184.239534746859</v>
      </c>
      <c r="J209" s="168">
        <f>IF(E209&lt;DATE(2016,1,1),IF(OR(M209="metres",M209="pipe"),INDEX('Scheme cost allocation'!$D$21:$D$42,MATCH(IF(MONTH(E209)&lt;7,YEAR(E209),YEAR(E209)+1),'Scheme cost allocation'!$C$21:$C$42,0))*'Scheme cost allocation'!$J$21,'Scheme cost allocation'!$J$21),'Scheme cost allocation'!$J$21)</f>
        <v>0.90850599752846017</v>
      </c>
      <c r="K209" s="47"/>
      <c r="L209" s="169">
        <v>1</v>
      </c>
      <c r="M209" s="175" t="s">
        <v>234</v>
      </c>
      <c r="N209" s="169">
        <v>3386135.9638341265</v>
      </c>
      <c r="O209" s="143">
        <f t="shared" si="6"/>
        <v>3386135.9638341265</v>
      </c>
      <c r="P209" s="144">
        <f t="shared" si="7"/>
        <v>3076324.831590117</v>
      </c>
    </row>
    <row r="210" spans="3:16" x14ac:dyDescent="0.2">
      <c r="C210" s="145"/>
      <c r="D210" s="164" t="s">
        <v>296</v>
      </c>
      <c r="E210" s="137">
        <v>38925</v>
      </c>
      <c r="F210" s="172" t="str">
        <f t="shared" si="9"/>
        <v>2006-07</v>
      </c>
      <c r="H210" s="173" t="s">
        <v>190</v>
      </c>
      <c r="I210" s="174">
        <v>25184.239534746859</v>
      </c>
      <c r="J210" s="168">
        <f>IF(E210&lt;DATE(2016,1,1),IF(OR(M210="metres",M210="pipe"),INDEX('Scheme cost allocation'!$D$21:$D$42,MATCH(IF(MONTH(E210)&lt;7,YEAR(E210),YEAR(E210)+1),'Scheme cost allocation'!$C$21:$C$42,0))*'Scheme cost allocation'!$J$21,'Scheme cost allocation'!$J$21),'Scheme cost allocation'!$J$21)</f>
        <v>0.90850599752846017</v>
      </c>
      <c r="K210" s="47"/>
      <c r="L210" s="169">
        <v>1</v>
      </c>
      <c r="M210" s="175" t="s">
        <v>234</v>
      </c>
      <c r="N210" s="169">
        <v>3386135.9638341265</v>
      </c>
      <c r="O210" s="143">
        <f t="shared" si="6"/>
        <v>3386135.9638341265</v>
      </c>
      <c r="P210" s="144">
        <f t="shared" si="7"/>
        <v>3076324.831590117</v>
      </c>
    </row>
    <row r="211" spans="3:16" x14ac:dyDescent="0.2">
      <c r="C211" s="145"/>
      <c r="D211" s="164" t="s">
        <v>297</v>
      </c>
      <c r="E211" s="137">
        <v>35124</v>
      </c>
      <c r="F211" s="172" t="str">
        <f>IF(E211="","-",IF(OR(E211&lt;$E$15,E211&gt;$E$16),"ERROR - date outside of range",IF(MONTH(E211)&gt;=7,YEAR(E211)&amp;"-"&amp;IF(YEAR(E211)=1999,"00",IF(AND(YEAR(E211)&gt;=2000,YEAR(E211)&lt;2009),"0","")&amp;RIGHT(YEAR(E211),2)+1),RIGHT(YEAR(E211),4)-1&amp;"-"&amp;RIGHT(YEAR(E211),2))))</f>
        <v>1995-96</v>
      </c>
      <c r="H211" s="173" t="s">
        <v>190</v>
      </c>
      <c r="I211" s="174">
        <v>25184.239534746859</v>
      </c>
      <c r="J211" s="168">
        <f>IF(E211&lt;DATE(2016,1,1),IF(OR(M211="metres",M211="pipe"),INDEX('Scheme cost allocation'!$D$21:$D$42,MATCH(IF(MONTH(E211)&lt;7,YEAR(E211),YEAR(E211)+1),'Scheme cost allocation'!$C$21:$C$42,0))*'Scheme cost allocation'!$J$21,'Scheme cost allocation'!$J$21),'Scheme cost allocation'!$J$21)</f>
        <v>0.90850599752846017</v>
      </c>
      <c r="K211" s="47"/>
      <c r="L211" s="169">
        <v>1</v>
      </c>
      <c r="M211" s="175" t="s">
        <v>242</v>
      </c>
      <c r="N211" s="169">
        <v>25303.608734138968</v>
      </c>
      <c r="O211" s="143">
        <f t="shared" si="6"/>
        <v>25303.608734138968</v>
      </c>
      <c r="P211" s="144">
        <f t="shared" si="7"/>
        <v>22988.480294078781</v>
      </c>
    </row>
    <row r="212" spans="3:16" x14ac:dyDescent="0.2">
      <c r="C212" s="145"/>
      <c r="D212" s="164" t="s">
        <v>298</v>
      </c>
      <c r="E212" s="137">
        <v>35124</v>
      </c>
      <c r="F212" s="172" t="str">
        <f t="shared" si="9"/>
        <v>1995-96</v>
      </c>
      <c r="H212" s="173" t="s">
        <v>190</v>
      </c>
      <c r="I212" s="174">
        <v>25184.239534746859</v>
      </c>
      <c r="J212" s="168">
        <f>IF(E212&lt;DATE(2016,1,1),IF(OR(M212="metres",M212="pipe"),INDEX('Scheme cost allocation'!$D$21:$D$42,MATCH(IF(MONTH(E212)&lt;7,YEAR(E212),YEAR(E212)+1),'Scheme cost allocation'!$C$21:$C$42,0))*'Scheme cost allocation'!$J$21,'Scheme cost allocation'!$J$21),'Scheme cost allocation'!$J$21)</f>
        <v>0.90850599752846017</v>
      </c>
      <c r="K212" s="47"/>
      <c r="L212" s="169">
        <v>1</v>
      </c>
      <c r="M212" s="175" t="s">
        <v>242</v>
      </c>
      <c r="N212" s="169">
        <v>27916.792251525672</v>
      </c>
      <c r="O212" s="143">
        <f t="shared" si="6"/>
        <v>27916.792251525672</v>
      </c>
      <c r="P212" s="144">
        <f t="shared" si="7"/>
        <v>25362.573192267118</v>
      </c>
    </row>
    <row r="213" spans="3:16" x14ac:dyDescent="0.2">
      <c r="C213" s="145"/>
      <c r="D213" s="164" t="s">
        <v>299</v>
      </c>
      <c r="E213" s="137">
        <v>35124</v>
      </c>
      <c r="F213" s="172" t="str">
        <f t="shared" si="9"/>
        <v>1995-96</v>
      </c>
      <c r="H213" s="173" t="s">
        <v>190</v>
      </c>
      <c r="I213" s="174">
        <v>25184.239534746859</v>
      </c>
      <c r="J213" s="168">
        <f>IF(E213&lt;DATE(2016,1,1),IF(OR(M213="metres",M213="pipe"),INDEX('Scheme cost allocation'!$D$21:$D$42,MATCH(IF(MONTH(E213)&lt;7,YEAR(E213),YEAR(E213)+1),'Scheme cost allocation'!$C$21:$C$42,0))*'Scheme cost allocation'!$J$21,'Scheme cost allocation'!$J$21),'Scheme cost allocation'!$J$21)</f>
        <v>0.90850599752846017</v>
      </c>
      <c r="K213" s="47"/>
      <c r="L213" s="169">
        <v>1</v>
      </c>
      <c r="M213" s="175" t="s">
        <v>242</v>
      </c>
      <c r="N213" s="169">
        <v>74667.714149395746</v>
      </c>
      <c r="O213" s="143">
        <f t="shared" si="6"/>
        <v>74667.714149395746</v>
      </c>
      <c r="P213" s="144">
        <f t="shared" si="7"/>
        <v>67836.0661264667</v>
      </c>
    </row>
    <row r="214" spans="3:16" x14ac:dyDescent="0.2">
      <c r="C214" s="145"/>
      <c r="D214" s="164" t="s">
        <v>300</v>
      </c>
      <c r="E214" s="137">
        <v>35124</v>
      </c>
      <c r="F214" s="172" t="str">
        <f t="shared" si="9"/>
        <v>1995-96</v>
      </c>
      <c r="H214" s="173" t="s">
        <v>190</v>
      </c>
      <c r="I214" s="174">
        <v>25184.239534746859</v>
      </c>
      <c r="J214" s="168">
        <f>IF(E214&lt;DATE(2016,1,1),IF(OR(M214="metres",M214="pipe"),INDEX('Scheme cost allocation'!$D$21:$D$42,MATCH(IF(MONTH(E214)&lt;7,YEAR(E214),YEAR(E214)+1),'Scheme cost allocation'!$C$21:$C$42,0))*'Scheme cost allocation'!$J$21,'Scheme cost allocation'!$J$21),'Scheme cost allocation'!$J$21)</f>
        <v>0.90850599752846017</v>
      </c>
      <c r="K214" s="47"/>
      <c r="L214" s="169">
        <v>1</v>
      </c>
      <c r="M214" s="175" t="s">
        <v>242</v>
      </c>
      <c r="N214" s="169">
        <v>79020.106985060396</v>
      </c>
      <c r="O214" s="143">
        <f t="shared" ref="O214:O277" si="10">IF(N214="","-",L214*N214)</f>
        <v>79020.106985060396</v>
      </c>
      <c r="P214" s="144">
        <f t="shared" ref="P214:P277" si="11">IF(O214="-","-",IF(OR(E214&lt;$E$15,E214&gt;$E$16),0,O214*J214))</f>
        <v>71790.241121267944</v>
      </c>
    </row>
    <row r="215" spans="3:16" x14ac:dyDescent="0.2">
      <c r="C215" s="145"/>
      <c r="D215" s="164" t="s">
        <v>301</v>
      </c>
      <c r="E215" s="137">
        <v>35124</v>
      </c>
      <c r="F215" s="172" t="str">
        <f t="shared" si="9"/>
        <v>1995-96</v>
      </c>
      <c r="H215" s="173" t="s">
        <v>190</v>
      </c>
      <c r="I215" s="174">
        <v>25184.239534746859</v>
      </c>
      <c r="J215" s="168">
        <f>IF(E215&lt;DATE(2016,1,1),IF(OR(M215="metres",M215="pipe"),INDEX('Scheme cost allocation'!$D$21:$D$42,MATCH(IF(MONTH(E215)&lt;7,YEAR(E215),YEAR(E215)+1),'Scheme cost allocation'!$C$21:$C$42,0))*'Scheme cost allocation'!$J$21,'Scheme cost allocation'!$J$21),'Scheme cost allocation'!$J$21)</f>
        <v>0.90850599752846017</v>
      </c>
      <c r="K215" s="47"/>
      <c r="L215" s="169">
        <v>1</v>
      </c>
      <c r="M215" s="175" t="s">
        <v>242</v>
      </c>
      <c r="N215" s="169">
        <v>110341.918429003</v>
      </c>
      <c r="O215" s="143">
        <f t="shared" si="10"/>
        <v>110341.918429003</v>
      </c>
      <c r="P215" s="144">
        <f t="shared" si="11"/>
        <v>100246.29467154534</v>
      </c>
    </row>
    <row r="216" spans="3:16" x14ac:dyDescent="0.2">
      <c r="C216" s="145"/>
      <c r="D216" s="164" t="s">
        <v>302</v>
      </c>
      <c r="E216" s="137">
        <v>35124</v>
      </c>
      <c r="F216" s="172" t="str">
        <f t="shared" si="9"/>
        <v>1995-96</v>
      </c>
      <c r="H216" s="173" t="s">
        <v>190</v>
      </c>
      <c r="I216" s="174">
        <v>25184.239534746859</v>
      </c>
      <c r="J216" s="168">
        <f>IF(E216&lt;DATE(2016,1,1),IF(OR(M216="metres",M216="pipe"),INDEX('Scheme cost allocation'!$D$21:$D$42,MATCH(IF(MONTH(E216)&lt;7,YEAR(E216),YEAR(E216)+1),'Scheme cost allocation'!$C$21:$C$42,0))*'Scheme cost allocation'!$J$21,'Scheme cost allocation'!$J$21),'Scheme cost allocation'!$J$21)</f>
        <v>0.90850599752846017</v>
      </c>
      <c r="K216" s="47"/>
      <c r="L216" s="169">
        <v>1</v>
      </c>
      <c r="M216" s="175" t="s">
        <v>242</v>
      </c>
      <c r="N216" s="169">
        <v>112189.85867370089</v>
      </c>
      <c r="O216" s="143">
        <f t="shared" si="10"/>
        <v>112189.85867370089</v>
      </c>
      <c r="P216" s="144">
        <f t="shared" si="11"/>
        <v>101925.15946692759</v>
      </c>
    </row>
    <row r="217" spans="3:16" x14ac:dyDescent="0.2">
      <c r="C217" s="145"/>
      <c r="D217" s="164" t="s">
        <v>303</v>
      </c>
      <c r="E217" s="137">
        <v>35124</v>
      </c>
      <c r="F217" s="172" t="str">
        <f t="shared" si="9"/>
        <v>1995-96</v>
      </c>
      <c r="H217" s="173" t="s">
        <v>190</v>
      </c>
      <c r="I217" s="174">
        <v>25184.239534746859</v>
      </c>
      <c r="J217" s="168">
        <f>IF(E217&lt;DATE(2016,1,1),IF(OR(M217="metres",M217="pipe"),INDEX('Scheme cost allocation'!$D$21:$D$42,MATCH(IF(MONTH(E217)&lt;7,YEAR(E217),YEAR(E217)+1),'Scheme cost allocation'!$C$21:$C$42,0))*'Scheme cost allocation'!$J$21,'Scheme cost allocation'!$J$21),'Scheme cost allocation'!$J$21)</f>
        <v>0.90850599752846017</v>
      </c>
      <c r="K217" s="47"/>
      <c r="L217" s="169">
        <v>1</v>
      </c>
      <c r="M217" s="175" t="s">
        <v>242</v>
      </c>
      <c r="N217" s="169">
        <v>124622.45778561931</v>
      </c>
      <c r="O217" s="143">
        <f t="shared" si="10"/>
        <v>124622.45778561931</v>
      </c>
      <c r="P217" s="144">
        <f t="shared" si="11"/>
        <v>113220.25032497248</v>
      </c>
    </row>
    <row r="218" spans="3:16" x14ac:dyDescent="0.2">
      <c r="C218" s="145"/>
      <c r="D218" s="164" t="s">
        <v>304</v>
      </c>
      <c r="E218" s="137">
        <v>35124</v>
      </c>
      <c r="F218" s="172" t="str">
        <f t="shared" si="9"/>
        <v>1995-96</v>
      </c>
      <c r="H218" s="173" t="s">
        <v>190</v>
      </c>
      <c r="I218" s="174">
        <v>25184.239534746859</v>
      </c>
      <c r="J218" s="168">
        <f>IF(E218&lt;DATE(2016,1,1),IF(OR(M218="metres",M218="pipe"),INDEX('Scheme cost allocation'!$D$21:$D$42,MATCH(IF(MONTH(E218)&lt;7,YEAR(E218),YEAR(E218)+1),'Scheme cost allocation'!$C$21:$C$42,0))*'Scheme cost allocation'!$J$21,'Scheme cost allocation'!$J$21),'Scheme cost allocation'!$J$21)</f>
        <v>0.90850599752846017</v>
      </c>
      <c r="K218" s="47"/>
      <c r="L218" s="169">
        <v>1</v>
      </c>
      <c r="M218" s="175" t="s">
        <v>242</v>
      </c>
      <c r="N218" s="169">
        <v>125302.49502889726</v>
      </c>
      <c r="O218" s="143">
        <f t="shared" si="10"/>
        <v>125302.49502889726</v>
      </c>
      <c r="P218" s="144">
        <f t="shared" si="11"/>
        <v>113838.06823903322</v>
      </c>
    </row>
    <row r="219" spans="3:16" x14ac:dyDescent="0.2">
      <c r="C219" s="145"/>
      <c r="D219" s="164" t="s">
        <v>305</v>
      </c>
      <c r="E219" s="137">
        <v>35124</v>
      </c>
      <c r="F219" s="172" t="str">
        <f t="shared" si="9"/>
        <v>1995-96</v>
      </c>
      <c r="H219" s="173" t="s">
        <v>190</v>
      </c>
      <c r="I219" s="174">
        <v>25184.239534746859</v>
      </c>
      <c r="J219" s="168">
        <f>IF(E219&lt;DATE(2016,1,1),IF(OR(M219="metres",M219="pipe"),INDEX('Scheme cost allocation'!$D$21:$D$42,MATCH(IF(MONTH(E219)&lt;7,YEAR(E219),YEAR(E219)+1),'Scheme cost allocation'!$C$21:$C$42,0))*'Scheme cost allocation'!$J$21,'Scheme cost allocation'!$J$21),'Scheme cost allocation'!$J$21)</f>
        <v>0.90850599752846017</v>
      </c>
      <c r="K219" s="47"/>
      <c r="L219" s="169">
        <v>1</v>
      </c>
      <c r="M219" s="175" t="s">
        <v>242</v>
      </c>
      <c r="N219" s="169">
        <v>136145.79535291539</v>
      </c>
      <c r="O219" s="143">
        <f t="shared" si="10"/>
        <v>136145.79535291539</v>
      </c>
      <c r="P219" s="144">
        <f t="shared" si="11"/>
        <v>123689.271616406</v>
      </c>
    </row>
    <row r="220" spans="3:16" x14ac:dyDescent="0.2">
      <c r="C220" s="145"/>
      <c r="D220" s="164" t="s">
        <v>306</v>
      </c>
      <c r="E220" s="137">
        <v>35124</v>
      </c>
      <c r="F220" s="172" t="str">
        <f t="shared" si="9"/>
        <v>1995-96</v>
      </c>
      <c r="H220" s="173" t="s">
        <v>190</v>
      </c>
      <c r="I220" s="174">
        <v>25184.239534746859</v>
      </c>
      <c r="J220" s="168">
        <f>IF(E220&lt;DATE(2016,1,1),IF(OR(M220="metres",M220="pipe"),INDEX('Scheme cost allocation'!$D$21:$D$42,MATCH(IF(MONTH(E220)&lt;7,YEAR(E220),YEAR(E220)+1),'Scheme cost allocation'!$C$21:$C$42,0))*'Scheme cost allocation'!$J$21,'Scheme cost allocation'!$J$21),'Scheme cost allocation'!$J$21)</f>
        <v>0.90850599752846017</v>
      </c>
      <c r="K220" s="47"/>
      <c r="L220" s="169">
        <v>1</v>
      </c>
      <c r="M220" s="175" t="s">
        <v>242</v>
      </c>
      <c r="N220" s="169">
        <v>144875.45209265858</v>
      </c>
      <c r="O220" s="143">
        <f t="shared" si="10"/>
        <v>144875.45209265858</v>
      </c>
      <c r="P220" s="144">
        <f t="shared" si="11"/>
        <v>131620.21712082744</v>
      </c>
    </row>
    <row r="221" spans="3:16" x14ac:dyDescent="0.2">
      <c r="C221" s="145"/>
      <c r="D221" s="164" t="s">
        <v>307</v>
      </c>
      <c r="E221" s="137">
        <v>35124</v>
      </c>
      <c r="F221" s="172" t="str">
        <f t="shared" si="9"/>
        <v>1995-96</v>
      </c>
      <c r="H221" s="173" t="s">
        <v>190</v>
      </c>
      <c r="I221" s="174">
        <v>25184.239534746859</v>
      </c>
      <c r="J221" s="168">
        <f>IF(E221&lt;DATE(2016,1,1),IF(OR(M221="metres",M221="pipe"),INDEX('Scheme cost allocation'!$D$21:$D$42,MATCH(IF(MONTH(E221)&lt;7,YEAR(E221),YEAR(E221)+1),'Scheme cost allocation'!$C$21:$C$42,0))*'Scheme cost allocation'!$J$21,'Scheme cost allocation'!$J$21),'Scheme cost allocation'!$J$21)</f>
        <v>0.90850599752846017</v>
      </c>
      <c r="K221" s="47"/>
      <c r="L221" s="169">
        <v>1</v>
      </c>
      <c r="M221" s="175" t="s">
        <v>242</v>
      </c>
      <c r="N221" s="169">
        <v>152368.17592681266</v>
      </c>
      <c r="O221" s="143">
        <f t="shared" si="10"/>
        <v>152368.17592681266</v>
      </c>
      <c r="P221" s="144">
        <f t="shared" si="11"/>
        <v>138427.40166198084</v>
      </c>
    </row>
    <row r="222" spans="3:16" x14ac:dyDescent="0.2">
      <c r="C222" s="145"/>
      <c r="D222" s="164" t="s">
        <v>308</v>
      </c>
      <c r="E222" s="137">
        <v>35124</v>
      </c>
      <c r="F222" s="172" t="str">
        <f t="shared" si="9"/>
        <v>1995-96</v>
      </c>
      <c r="H222" s="173" t="s">
        <v>190</v>
      </c>
      <c r="I222" s="174">
        <v>25184.239534746859</v>
      </c>
      <c r="J222" s="168">
        <f>IF(E222&lt;DATE(2016,1,1),IF(OR(M222="metres",M222="pipe"),INDEX('Scheme cost allocation'!$D$21:$D$42,MATCH(IF(MONTH(E222)&lt;7,YEAR(E222),YEAR(E222)+1),'Scheme cost allocation'!$C$21:$C$42,0))*'Scheme cost allocation'!$J$21,'Scheme cost allocation'!$J$21),'Scheme cost allocation'!$J$21)</f>
        <v>0.90850599752846017</v>
      </c>
      <c r="K222" s="47"/>
      <c r="L222" s="169">
        <v>1</v>
      </c>
      <c r="M222" s="175" t="s">
        <v>242</v>
      </c>
      <c r="N222" s="169">
        <v>163416.84462941086</v>
      </c>
      <c r="O222" s="143">
        <f t="shared" si="10"/>
        <v>163416.84462941086</v>
      </c>
      <c r="P222" s="144">
        <f t="shared" si="11"/>
        <v>148465.18344299629</v>
      </c>
    </row>
    <row r="223" spans="3:16" x14ac:dyDescent="0.2">
      <c r="C223" s="145"/>
      <c r="D223" s="164" t="s">
        <v>309</v>
      </c>
      <c r="E223" s="137">
        <v>35124</v>
      </c>
      <c r="F223" s="172" t="str">
        <f t="shared" si="9"/>
        <v>1995-96</v>
      </c>
      <c r="H223" s="173" t="s">
        <v>190</v>
      </c>
      <c r="I223" s="174">
        <v>25184.239534746859</v>
      </c>
      <c r="J223" s="168">
        <f>IF(E223&lt;DATE(2016,1,1),IF(OR(M223="metres",M223="pipe"),INDEX('Scheme cost allocation'!$D$21:$D$42,MATCH(IF(MONTH(E223)&lt;7,YEAR(E223),YEAR(E223)+1),'Scheme cost allocation'!$C$21:$C$42,0))*'Scheme cost allocation'!$J$21,'Scheme cost allocation'!$J$21),'Scheme cost allocation'!$J$21)</f>
        <v>0.90850599752846017</v>
      </c>
      <c r="K223" s="47"/>
      <c r="L223" s="169">
        <v>1</v>
      </c>
      <c r="M223" s="175" t="s">
        <v>242</v>
      </c>
      <c r="N223" s="169">
        <v>173105.17402484894</v>
      </c>
      <c r="O223" s="143">
        <f t="shared" si="10"/>
        <v>173105.17402484894</v>
      </c>
      <c r="P223" s="144">
        <f t="shared" si="11"/>
        <v>157267.08880478307</v>
      </c>
    </row>
    <row r="224" spans="3:16" x14ac:dyDescent="0.2">
      <c r="C224" s="145"/>
      <c r="D224" s="164" t="s">
        <v>310</v>
      </c>
      <c r="E224" s="137">
        <v>35124</v>
      </c>
      <c r="F224" s="172" t="str">
        <f t="shared" si="9"/>
        <v>1995-96</v>
      </c>
      <c r="H224" s="173" t="s">
        <v>190</v>
      </c>
      <c r="I224" s="174">
        <v>25184.239534746859</v>
      </c>
      <c r="J224" s="168">
        <f>IF(E224&lt;DATE(2016,1,1),IF(OR(M224="metres",M224="pipe"),INDEX('Scheme cost allocation'!$D$21:$D$42,MATCH(IF(MONTH(E224)&lt;7,YEAR(E224),YEAR(E224)+1),'Scheme cost allocation'!$C$21:$C$42,0))*'Scheme cost allocation'!$J$21,'Scheme cost allocation'!$J$21),'Scheme cost allocation'!$J$21)</f>
        <v>0.90850599752846017</v>
      </c>
      <c r="K224" s="47"/>
      <c r="L224" s="169">
        <v>1</v>
      </c>
      <c r="M224" s="175" t="s">
        <v>242</v>
      </c>
      <c r="N224" s="169">
        <v>186493.55483419934</v>
      </c>
      <c r="O224" s="143">
        <f t="shared" si="10"/>
        <v>186493.55483419934</v>
      </c>
      <c r="P224" s="144">
        <f t="shared" si="11"/>
        <v>169430.51306727287</v>
      </c>
    </row>
    <row r="225" spans="3:16" x14ac:dyDescent="0.2">
      <c r="C225" s="145"/>
      <c r="D225" s="164" t="s">
        <v>311</v>
      </c>
      <c r="E225" s="137">
        <v>35124</v>
      </c>
      <c r="F225" s="172" t="str">
        <f t="shared" si="9"/>
        <v>1995-96</v>
      </c>
      <c r="H225" s="173" t="s">
        <v>190</v>
      </c>
      <c r="I225" s="174">
        <v>25184.239534746859</v>
      </c>
      <c r="J225" s="168">
        <f>IF(E225&lt;DATE(2016,1,1),IF(OR(M225="metres",M225="pipe"),INDEX('Scheme cost allocation'!$D$21:$D$42,MATCH(IF(MONTH(E225)&lt;7,YEAR(E225),YEAR(E225)+1),'Scheme cost allocation'!$C$21:$C$42,0))*'Scheme cost allocation'!$J$21,'Scheme cost allocation'!$J$21),'Scheme cost allocation'!$J$21)</f>
        <v>0.90850599752846017</v>
      </c>
      <c r="K225" s="47"/>
      <c r="L225" s="169">
        <v>1</v>
      </c>
      <c r="M225" s="175" t="s">
        <v>242</v>
      </c>
      <c r="N225" s="169">
        <v>236842.30739274918</v>
      </c>
      <c r="O225" s="143">
        <f t="shared" si="10"/>
        <v>236842.30739274918</v>
      </c>
      <c r="P225" s="144">
        <f t="shared" si="11"/>
        <v>215172.65673479179</v>
      </c>
    </row>
    <row r="226" spans="3:16" x14ac:dyDescent="0.2">
      <c r="C226" s="145"/>
      <c r="D226" s="164" t="s">
        <v>312</v>
      </c>
      <c r="E226" s="137">
        <v>35124</v>
      </c>
      <c r="F226" s="172" t="str">
        <f t="shared" si="9"/>
        <v>1995-96</v>
      </c>
      <c r="H226" s="173" t="s">
        <v>190</v>
      </c>
      <c r="I226" s="174">
        <v>25184.239534746859</v>
      </c>
      <c r="J226" s="168">
        <f>IF(E226&lt;DATE(2016,1,1),IF(OR(M226="metres",M226="pipe"),INDEX('Scheme cost allocation'!$D$21:$D$42,MATCH(IF(MONTH(E226)&lt;7,YEAR(E226),YEAR(E226)+1),'Scheme cost allocation'!$C$21:$C$42,0))*'Scheme cost allocation'!$J$21,'Scheme cost allocation'!$J$21),'Scheme cost allocation'!$J$21)</f>
        <v>0.90850599752846017</v>
      </c>
      <c r="K226" s="47"/>
      <c r="L226" s="169">
        <v>1</v>
      </c>
      <c r="M226" s="175" t="s">
        <v>242</v>
      </c>
      <c r="N226" s="169">
        <v>275995.45995012083</v>
      </c>
      <c r="O226" s="143">
        <f t="shared" si="10"/>
        <v>275995.45995012083</v>
      </c>
      <c r="P226" s="144">
        <f t="shared" si="11"/>
        <v>250743.53065531069</v>
      </c>
    </row>
    <row r="227" spans="3:16" x14ac:dyDescent="0.2">
      <c r="C227" s="145"/>
      <c r="D227" s="164" t="s">
        <v>313</v>
      </c>
      <c r="E227" s="137">
        <v>35124</v>
      </c>
      <c r="F227" s="172" t="str">
        <f t="shared" si="9"/>
        <v>1995-96</v>
      </c>
      <c r="H227" s="173" t="s">
        <v>190</v>
      </c>
      <c r="I227" s="174">
        <v>25184.239534746859</v>
      </c>
      <c r="J227" s="168">
        <f>IF(E227&lt;DATE(2016,1,1),IF(OR(M227="metres",M227="pipe"),INDEX('Scheme cost allocation'!$D$21:$D$42,MATCH(IF(MONTH(E227)&lt;7,YEAR(E227),YEAR(E227)+1),'Scheme cost allocation'!$C$21:$C$42,0))*'Scheme cost allocation'!$J$21,'Scheme cost allocation'!$J$21),'Scheme cost allocation'!$J$21)</f>
        <v>0.90850599752846017</v>
      </c>
      <c r="K227" s="47"/>
      <c r="L227" s="169">
        <v>1</v>
      </c>
      <c r="M227" s="175" t="s">
        <v>242</v>
      </c>
      <c r="N227" s="169">
        <v>448887.05615765852</v>
      </c>
      <c r="O227" s="143">
        <f t="shared" si="10"/>
        <v>448887.05615765852</v>
      </c>
      <c r="P227" s="144">
        <f t="shared" si="11"/>
        <v>407816.58273212746</v>
      </c>
    </row>
    <row r="228" spans="3:16" x14ac:dyDescent="0.2">
      <c r="C228" s="145"/>
      <c r="D228" s="164" t="s">
        <v>314</v>
      </c>
      <c r="E228" s="137">
        <v>35124</v>
      </c>
      <c r="F228" s="172" t="str">
        <f t="shared" si="9"/>
        <v>1995-96</v>
      </c>
      <c r="H228" s="173" t="s">
        <v>190</v>
      </c>
      <c r="I228" s="174">
        <v>25184.239534746859</v>
      </c>
      <c r="J228" s="168">
        <f>IF(E228&lt;DATE(2016,1,1),IF(OR(M228="metres",M228="pipe"),INDEX('Scheme cost allocation'!$D$21:$D$42,MATCH(IF(MONTH(E228)&lt;7,YEAR(E228),YEAR(E228)+1),'Scheme cost allocation'!$C$21:$C$42,0))*'Scheme cost allocation'!$J$21,'Scheme cost allocation'!$J$21),'Scheme cost allocation'!$J$21)</f>
        <v>0.90850599752846017</v>
      </c>
      <c r="K228" s="47"/>
      <c r="L228" s="169">
        <v>1</v>
      </c>
      <c r="M228" s="175" t="s">
        <v>242</v>
      </c>
      <c r="N228" s="169">
        <v>514927.33432054374</v>
      </c>
      <c r="O228" s="143">
        <f t="shared" si="10"/>
        <v>514927.33432054374</v>
      </c>
      <c r="P228" s="144">
        <f t="shared" si="11"/>
        <v>467814.57152155647</v>
      </c>
    </row>
    <row r="229" spans="3:16" x14ac:dyDescent="0.2">
      <c r="C229" s="145"/>
      <c r="D229" s="164" t="s">
        <v>315</v>
      </c>
      <c r="E229" s="137">
        <v>35124</v>
      </c>
      <c r="F229" s="172" t="str">
        <f t="shared" si="9"/>
        <v>1995-96</v>
      </c>
      <c r="H229" s="173" t="s">
        <v>190</v>
      </c>
      <c r="I229" s="174">
        <v>25184.239534746859</v>
      </c>
      <c r="J229" s="168">
        <f>IF(E229&lt;DATE(2016,1,1),IF(OR(M229="metres",M229="pipe"),INDEX('Scheme cost allocation'!$D$21:$D$42,MATCH(IF(MONTH(E229)&lt;7,YEAR(E229),YEAR(E229)+1),'Scheme cost allocation'!$C$21:$C$42,0))*'Scheme cost allocation'!$J$21,'Scheme cost allocation'!$J$21),'Scheme cost allocation'!$J$21)</f>
        <v>0.90850599752846017</v>
      </c>
      <c r="K229" s="47"/>
      <c r="L229" s="169">
        <v>1</v>
      </c>
      <c r="M229" s="175" t="s">
        <v>242</v>
      </c>
      <c r="N229" s="169">
        <v>521822.2035722658</v>
      </c>
      <c r="O229" s="143">
        <f t="shared" si="10"/>
        <v>521822.2035722658</v>
      </c>
      <c r="P229" s="144">
        <f t="shared" si="11"/>
        <v>474078.60158892057</v>
      </c>
    </row>
    <row r="230" spans="3:16" x14ac:dyDescent="0.2">
      <c r="C230" s="145"/>
      <c r="D230" s="164" t="s">
        <v>316</v>
      </c>
      <c r="E230" s="137">
        <v>35124</v>
      </c>
      <c r="F230" s="172" t="str">
        <f t="shared" si="9"/>
        <v>1995-96</v>
      </c>
      <c r="H230" s="173" t="s">
        <v>190</v>
      </c>
      <c r="I230" s="174">
        <v>25184.239534746859</v>
      </c>
      <c r="J230" s="168">
        <f>IF(E230&lt;DATE(2016,1,1),IF(OR(M230="metres",M230="pipe"),INDEX('Scheme cost allocation'!$D$21:$D$42,MATCH(IF(MONTH(E230)&lt;7,YEAR(E230),YEAR(E230)+1),'Scheme cost allocation'!$C$21:$C$42,0))*'Scheme cost allocation'!$J$21,'Scheme cost allocation'!$J$21),'Scheme cost allocation'!$J$21)</f>
        <v>0.90850599752846017</v>
      </c>
      <c r="K230" s="47"/>
      <c r="L230" s="169">
        <v>1</v>
      </c>
      <c r="M230" s="175" t="s">
        <v>242</v>
      </c>
      <c r="N230" s="169">
        <v>665274.44353264337</v>
      </c>
      <c r="O230" s="143">
        <f t="shared" si="10"/>
        <v>665274.44353264337</v>
      </c>
      <c r="P230" s="144">
        <f t="shared" si="11"/>
        <v>604405.82195181539</v>
      </c>
    </row>
    <row r="231" spans="3:16" x14ac:dyDescent="0.2">
      <c r="C231" s="145"/>
      <c r="D231" s="164" t="s">
        <v>317</v>
      </c>
      <c r="E231" s="137">
        <v>35124</v>
      </c>
      <c r="F231" s="172" t="str">
        <f t="shared" si="9"/>
        <v>1995-96</v>
      </c>
      <c r="H231" s="173" t="s">
        <v>190</v>
      </c>
      <c r="I231" s="174">
        <v>25184.239534746859</v>
      </c>
      <c r="J231" s="168">
        <f>IF(E231&lt;DATE(2016,1,1),IF(OR(M231="metres",M231="pipe"),INDEX('Scheme cost allocation'!$D$21:$D$42,MATCH(IF(MONTH(E231)&lt;7,YEAR(E231),YEAR(E231)+1),'Scheme cost allocation'!$C$21:$C$42,0))*'Scheme cost allocation'!$J$21,'Scheme cost allocation'!$J$21),'Scheme cost allocation'!$J$21)</f>
        <v>0.90850599752846017</v>
      </c>
      <c r="K231" s="47"/>
      <c r="L231" s="169">
        <v>1</v>
      </c>
      <c r="M231" s="175" t="s">
        <v>242</v>
      </c>
      <c r="N231" s="169">
        <v>695528.47623194859</v>
      </c>
      <c r="O231" s="143">
        <f t="shared" si="10"/>
        <v>695528.47623194859</v>
      </c>
      <c r="P231" s="144">
        <f t="shared" si="11"/>
        <v>631891.79210855637</v>
      </c>
    </row>
    <row r="232" spans="3:16" x14ac:dyDescent="0.2">
      <c r="C232" s="145"/>
      <c r="D232" s="164" t="s">
        <v>318</v>
      </c>
      <c r="E232" s="137">
        <v>35124</v>
      </c>
      <c r="F232" s="172" t="str">
        <f t="shared" si="9"/>
        <v>1995-96</v>
      </c>
      <c r="H232" s="173" t="s">
        <v>190</v>
      </c>
      <c r="I232" s="174">
        <v>25184.239534746859</v>
      </c>
      <c r="J232" s="168">
        <f>IF(E232&lt;DATE(2016,1,1),IF(OR(M232="metres",M232="pipe"),INDEX('Scheme cost allocation'!$D$21:$D$42,MATCH(IF(MONTH(E232)&lt;7,YEAR(E232),YEAR(E232)+1),'Scheme cost allocation'!$C$21:$C$42,0))*'Scheme cost allocation'!$J$21,'Scheme cost allocation'!$J$21),'Scheme cost allocation'!$J$21)</f>
        <v>0.90850599752846017</v>
      </c>
      <c r="K232" s="47"/>
      <c r="L232" s="169">
        <v>1</v>
      </c>
      <c r="M232" s="175" t="s">
        <v>242</v>
      </c>
      <c r="N232" s="169">
        <v>1060545.2360380813</v>
      </c>
      <c r="O232" s="143">
        <f t="shared" si="10"/>
        <v>1060545.2360380813</v>
      </c>
      <c r="P232" s="144">
        <f t="shared" si="11"/>
        <v>963511.70759083331</v>
      </c>
    </row>
    <row r="233" spans="3:16" x14ac:dyDescent="0.2">
      <c r="C233" s="145"/>
      <c r="D233" s="164" t="s">
        <v>319</v>
      </c>
      <c r="E233" s="137">
        <v>35124</v>
      </c>
      <c r="F233" s="172" t="str">
        <f t="shared" ref="F233:F296" si="12">IF(E233="","-",IF(OR(E233&lt;$E$15,E233&gt;$E$16),"ERROR - date outside of range",IF(MONTH(E233)&gt;=7,YEAR(E233)&amp;"-"&amp;IF(YEAR(E233)=1999,"00",IF(AND(YEAR(E233)&gt;=2000,YEAR(E233)&lt;2009),"0","")&amp;RIGHT(YEAR(E233),2)+1),RIGHT(YEAR(E233),4)-1&amp;"-"&amp;RIGHT(YEAR(E233),2))))</f>
        <v>1995-96</v>
      </c>
      <c r="H233" s="173" t="s">
        <v>190</v>
      </c>
      <c r="I233" s="174">
        <v>25184.239534746859</v>
      </c>
      <c r="J233" s="168">
        <f>IF(E233&lt;DATE(2016,1,1),IF(OR(M233="metres",M233="pipe"),INDEX('Scheme cost allocation'!$D$21:$D$42,MATCH(IF(MONTH(E233)&lt;7,YEAR(E233),YEAR(E233)+1),'Scheme cost allocation'!$C$21:$C$42,0))*'Scheme cost allocation'!$J$21,'Scheme cost allocation'!$J$21),'Scheme cost allocation'!$J$21)</f>
        <v>0.90850599752846017</v>
      </c>
      <c r="K233" s="47"/>
      <c r="L233" s="169">
        <v>1</v>
      </c>
      <c r="M233" s="175" t="s">
        <v>242</v>
      </c>
      <c r="N233" s="169">
        <v>1431263.6275900451</v>
      </c>
      <c r="O233" s="143">
        <f t="shared" si="10"/>
        <v>1431263.6275900451</v>
      </c>
      <c r="P233" s="144">
        <f t="shared" si="11"/>
        <v>1300311.5897098964</v>
      </c>
    </row>
    <row r="234" spans="3:16" x14ac:dyDescent="0.2">
      <c r="C234" s="145"/>
      <c r="D234" s="164" t="s">
        <v>320</v>
      </c>
      <c r="E234" s="137">
        <v>35124</v>
      </c>
      <c r="F234" s="172" t="str">
        <f t="shared" si="12"/>
        <v>1995-96</v>
      </c>
      <c r="H234" s="173" t="s">
        <v>190</v>
      </c>
      <c r="I234" s="174">
        <v>25184.239534746859</v>
      </c>
      <c r="J234" s="168">
        <f>IF(E234&lt;DATE(2016,1,1),IF(OR(M234="metres",M234="pipe"),INDEX('Scheme cost allocation'!$D$21:$D$42,MATCH(IF(MONTH(E234)&lt;7,YEAR(E234),YEAR(E234)+1),'Scheme cost allocation'!$C$21:$C$42,0))*'Scheme cost allocation'!$J$21,'Scheme cost allocation'!$J$21),'Scheme cost allocation'!$J$21)</f>
        <v>0.90850599752846017</v>
      </c>
      <c r="K234" s="47"/>
      <c r="L234" s="169">
        <v>1</v>
      </c>
      <c r="M234" s="175" t="s">
        <v>242</v>
      </c>
      <c r="N234" s="169">
        <v>2261362.7020841837</v>
      </c>
      <c r="O234" s="143">
        <f t="shared" si="10"/>
        <v>2261362.7020841837</v>
      </c>
      <c r="P234" s="144">
        <f t="shared" si="11"/>
        <v>2054461.5774306455</v>
      </c>
    </row>
    <row r="235" spans="3:16" x14ac:dyDescent="0.2">
      <c r="C235" s="145"/>
      <c r="D235" s="164" t="s">
        <v>321</v>
      </c>
      <c r="E235" s="137">
        <v>35124</v>
      </c>
      <c r="F235" s="172" t="str">
        <f t="shared" si="12"/>
        <v>1995-96</v>
      </c>
      <c r="H235" s="173" t="s">
        <v>190</v>
      </c>
      <c r="I235" s="174">
        <v>25184.239534746859</v>
      </c>
      <c r="J235" s="168">
        <f>IF(E235&lt;DATE(2016,1,1),IF(OR(M235="metres",M235="pipe"),INDEX('Scheme cost allocation'!$D$21:$D$42,MATCH(IF(MONTH(E235)&lt;7,YEAR(E235),YEAR(E235)+1),'Scheme cost allocation'!$C$21:$C$42,0))*'Scheme cost allocation'!$J$21,'Scheme cost allocation'!$J$21),'Scheme cost allocation'!$J$21)</f>
        <v>0.90850599752846017</v>
      </c>
      <c r="K235" s="47"/>
      <c r="L235" s="169">
        <v>1</v>
      </c>
      <c r="M235" s="175" t="s">
        <v>242</v>
      </c>
      <c r="N235" s="169">
        <v>2868649.8192763436</v>
      </c>
      <c r="O235" s="143">
        <f t="shared" si="10"/>
        <v>2868649.8192763436</v>
      </c>
      <c r="P235" s="144">
        <f t="shared" si="11"/>
        <v>2606185.5656214915</v>
      </c>
    </row>
    <row r="236" spans="3:16" x14ac:dyDescent="0.2">
      <c r="C236" s="145"/>
      <c r="D236" s="164" t="s">
        <v>322</v>
      </c>
      <c r="E236" s="137">
        <v>35124</v>
      </c>
      <c r="F236" s="172" t="str">
        <f t="shared" si="12"/>
        <v>1995-96</v>
      </c>
      <c r="H236" s="173" t="s">
        <v>190</v>
      </c>
      <c r="I236" s="174">
        <v>25184.239534746859</v>
      </c>
      <c r="J236" s="168">
        <f>IF(E236&lt;DATE(2016,1,1),IF(OR(M236="metres",M236="pipe"),INDEX('Scheme cost allocation'!$D$21:$D$42,MATCH(IF(MONTH(E236)&lt;7,YEAR(E236),YEAR(E236)+1),'Scheme cost allocation'!$C$21:$C$42,0))*'Scheme cost allocation'!$J$21,'Scheme cost allocation'!$J$21),'Scheme cost allocation'!$J$21)</f>
        <v>0.90850599752846017</v>
      </c>
      <c r="K236" s="47"/>
      <c r="L236" s="169">
        <v>1</v>
      </c>
      <c r="M236" s="175" t="s">
        <v>242</v>
      </c>
      <c r="N236" s="169">
        <v>3516651.1182142743</v>
      </c>
      <c r="O236" s="143">
        <f t="shared" si="10"/>
        <v>3516651.1182142743</v>
      </c>
      <c r="P236" s="144">
        <f t="shared" si="11"/>
        <v>3194898.6321128341</v>
      </c>
    </row>
    <row r="237" spans="3:16" x14ac:dyDescent="0.2">
      <c r="C237" s="145"/>
      <c r="D237" s="164" t="s">
        <v>323</v>
      </c>
      <c r="E237" s="137">
        <v>35124</v>
      </c>
      <c r="F237" s="172" t="str">
        <f t="shared" si="12"/>
        <v>1995-96</v>
      </c>
      <c r="H237" s="173" t="s">
        <v>190</v>
      </c>
      <c r="I237" s="174">
        <v>25184.239534746859</v>
      </c>
      <c r="J237" s="168">
        <f>IF(E237&lt;DATE(2016,1,1),IF(OR(M237="metres",M237="pipe"),INDEX('Scheme cost allocation'!$D$21:$D$42,MATCH(IF(MONTH(E237)&lt;7,YEAR(E237),YEAR(E237)+1),'Scheme cost allocation'!$C$21:$C$42,0))*'Scheme cost allocation'!$J$21,'Scheme cost allocation'!$J$21),'Scheme cost allocation'!$J$21)</f>
        <v>0.90850599752846017</v>
      </c>
      <c r="K237" s="47"/>
      <c r="L237" s="169">
        <v>1</v>
      </c>
      <c r="M237" s="175" t="s">
        <v>242</v>
      </c>
      <c r="N237" s="169">
        <v>9669741.4827485029</v>
      </c>
      <c r="O237" s="143">
        <f t="shared" si="10"/>
        <v>9669741.4827485029</v>
      </c>
      <c r="P237" s="144">
        <f t="shared" si="11"/>
        <v>8785018.1316267606</v>
      </c>
    </row>
    <row r="238" spans="3:16" x14ac:dyDescent="0.2">
      <c r="C238" s="145"/>
      <c r="D238" s="164" t="s">
        <v>324</v>
      </c>
      <c r="E238" s="137">
        <v>35246</v>
      </c>
      <c r="F238" s="172" t="str">
        <f t="shared" si="12"/>
        <v>1995-96</v>
      </c>
      <c r="H238" s="173" t="s">
        <v>190</v>
      </c>
      <c r="I238" s="174">
        <v>25184.239534746859</v>
      </c>
      <c r="J238" s="168">
        <f>IF(E238&lt;DATE(2016,1,1),IF(OR(M238="metres",M238="pipe"),INDEX('Scheme cost allocation'!$D$21:$D$42,MATCH(IF(MONTH(E238)&lt;7,YEAR(E238),YEAR(E238)+1),'Scheme cost allocation'!$C$21:$C$42,0))*'Scheme cost allocation'!$J$21,'Scheme cost allocation'!$J$21),'Scheme cost allocation'!$J$21)</f>
        <v>0.90850599752846017</v>
      </c>
      <c r="K238" s="47"/>
      <c r="L238" s="169">
        <v>1</v>
      </c>
      <c r="M238" s="175" t="s">
        <v>242</v>
      </c>
      <c r="N238" s="169">
        <v>2083230.2329326386</v>
      </c>
      <c r="O238" s="143">
        <f t="shared" si="10"/>
        <v>2083230.2329326386</v>
      </c>
      <c r="P238" s="144">
        <f t="shared" si="11"/>
        <v>1892627.1608519133</v>
      </c>
    </row>
    <row r="239" spans="3:16" x14ac:dyDescent="0.2">
      <c r="C239" s="145"/>
      <c r="D239" s="164" t="s">
        <v>325</v>
      </c>
      <c r="E239" s="137">
        <v>35349</v>
      </c>
      <c r="F239" s="172" t="str">
        <f t="shared" si="12"/>
        <v>1996-97</v>
      </c>
      <c r="H239" s="173" t="s">
        <v>190</v>
      </c>
      <c r="I239" s="174">
        <v>25184.239534746859</v>
      </c>
      <c r="J239" s="168">
        <f>IF(E239&lt;DATE(2016,1,1),IF(OR(M239="metres",M239="pipe"),INDEX('Scheme cost allocation'!$D$21:$D$42,MATCH(IF(MONTH(E239)&lt;7,YEAR(E239),YEAR(E239)+1),'Scheme cost allocation'!$C$21:$C$42,0))*'Scheme cost allocation'!$J$21,'Scheme cost allocation'!$J$21),'Scheme cost allocation'!$J$21)</f>
        <v>0.90850599752846017</v>
      </c>
      <c r="K239" s="47"/>
      <c r="L239" s="169">
        <v>1</v>
      </c>
      <c r="M239" s="175" t="s">
        <v>242</v>
      </c>
      <c r="N239" s="169">
        <v>1268461.0318488656</v>
      </c>
      <c r="O239" s="143">
        <f t="shared" si="10"/>
        <v>1268461.0318488656</v>
      </c>
      <c r="P239" s="144">
        <f t="shared" si="11"/>
        <v>1152404.4550658334</v>
      </c>
    </row>
    <row r="240" spans="3:16" x14ac:dyDescent="0.2">
      <c r="C240" s="145"/>
      <c r="D240" s="164" t="s">
        <v>326</v>
      </c>
      <c r="E240" s="137">
        <v>35461</v>
      </c>
      <c r="F240" s="172" t="str">
        <f t="shared" si="12"/>
        <v>1996-97</v>
      </c>
      <c r="H240" s="173" t="s">
        <v>190</v>
      </c>
      <c r="I240" s="174">
        <v>25184.239534746859</v>
      </c>
      <c r="J240" s="168">
        <f>IF(E240&lt;DATE(2016,1,1),IF(OR(M240="metres",M240="pipe"),INDEX('Scheme cost allocation'!$D$21:$D$42,MATCH(IF(MONTH(E240)&lt;7,YEAR(E240),YEAR(E240)+1),'Scheme cost allocation'!$C$21:$C$42,0))*'Scheme cost allocation'!$J$21,'Scheme cost allocation'!$J$21),'Scheme cost allocation'!$J$21)</f>
        <v>0.90850599752846017</v>
      </c>
      <c r="K240" s="47"/>
      <c r="L240" s="169">
        <v>1</v>
      </c>
      <c r="M240" s="175" t="s">
        <v>242</v>
      </c>
      <c r="N240" s="169">
        <v>11250.204746840534</v>
      </c>
      <c r="O240" s="143">
        <f t="shared" si="10"/>
        <v>11250.204746840534</v>
      </c>
      <c r="P240" s="144">
        <f t="shared" si="11"/>
        <v>10220.878485927777</v>
      </c>
    </row>
    <row r="241" spans="3:16" x14ac:dyDescent="0.2">
      <c r="C241" s="145"/>
      <c r="D241" s="164" t="s">
        <v>327</v>
      </c>
      <c r="E241" s="137">
        <v>35461</v>
      </c>
      <c r="F241" s="172" t="str">
        <f t="shared" si="12"/>
        <v>1996-97</v>
      </c>
      <c r="H241" s="173" t="s">
        <v>190</v>
      </c>
      <c r="I241" s="174">
        <v>25184.239534746859</v>
      </c>
      <c r="J241" s="168">
        <f>IF(E241&lt;DATE(2016,1,1),IF(OR(M241="metres",M241="pipe"),INDEX('Scheme cost allocation'!$D$21:$D$42,MATCH(IF(MONTH(E241)&lt;7,YEAR(E241),YEAR(E241)+1),'Scheme cost allocation'!$C$21:$C$42,0))*'Scheme cost allocation'!$J$21,'Scheme cost allocation'!$J$21),'Scheme cost allocation'!$J$21)</f>
        <v>0.90850599752846017</v>
      </c>
      <c r="K241" s="47"/>
      <c r="L241" s="169">
        <v>1</v>
      </c>
      <c r="M241" s="175" t="s">
        <v>242</v>
      </c>
      <c r="N241" s="169">
        <v>20750.47586181818</v>
      </c>
      <c r="O241" s="143">
        <f t="shared" si="10"/>
        <v>20750.47586181818</v>
      </c>
      <c r="P241" s="144">
        <f t="shared" si="11"/>
        <v>18851.931772031359</v>
      </c>
    </row>
    <row r="242" spans="3:16" x14ac:dyDescent="0.2">
      <c r="C242" s="145"/>
      <c r="D242" s="164" t="s">
        <v>328</v>
      </c>
      <c r="E242" s="137">
        <v>35461</v>
      </c>
      <c r="F242" s="172" t="str">
        <f t="shared" si="12"/>
        <v>1996-97</v>
      </c>
      <c r="H242" s="173" t="s">
        <v>190</v>
      </c>
      <c r="I242" s="174">
        <v>25184.239534746859</v>
      </c>
      <c r="J242" s="168">
        <f>IF(E242&lt;DATE(2016,1,1),IF(OR(M242="metres",M242="pipe"),INDEX('Scheme cost allocation'!$D$21:$D$42,MATCH(IF(MONTH(E242)&lt;7,YEAR(E242),YEAR(E242)+1),'Scheme cost allocation'!$C$21:$C$42,0))*'Scheme cost allocation'!$J$21,'Scheme cost allocation'!$J$21),'Scheme cost allocation'!$J$21)</f>
        <v>0.90850599752846017</v>
      </c>
      <c r="K242" s="47"/>
      <c r="L242" s="169">
        <v>1</v>
      </c>
      <c r="M242" s="175" t="s">
        <v>242</v>
      </c>
      <c r="N242" s="169">
        <v>58785.742965394929</v>
      </c>
      <c r="O242" s="143">
        <f t="shared" si="10"/>
        <v>58785.742965394929</v>
      </c>
      <c r="P242" s="144">
        <f t="shared" si="11"/>
        <v>53407.200053227782</v>
      </c>
    </row>
    <row r="243" spans="3:16" x14ac:dyDescent="0.2">
      <c r="C243" s="145"/>
      <c r="D243" s="164" t="s">
        <v>329</v>
      </c>
      <c r="E243" s="137">
        <v>35461</v>
      </c>
      <c r="F243" s="172" t="str">
        <f t="shared" si="12"/>
        <v>1996-97</v>
      </c>
      <c r="H243" s="173" t="s">
        <v>190</v>
      </c>
      <c r="I243" s="174">
        <v>25184.239534746859</v>
      </c>
      <c r="J243" s="168">
        <f>IF(E243&lt;DATE(2016,1,1),IF(OR(M243="metres",M243="pipe"),INDEX('Scheme cost allocation'!$D$21:$D$42,MATCH(IF(MONTH(E243)&lt;7,YEAR(E243),YEAR(E243)+1),'Scheme cost allocation'!$C$21:$C$42,0))*'Scheme cost allocation'!$J$21,'Scheme cost allocation'!$J$21),'Scheme cost allocation'!$J$21)</f>
        <v>0.90850599752846017</v>
      </c>
      <c r="K243" s="47"/>
      <c r="L243" s="169">
        <v>1</v>
      </c>
      <c r="M243" s="175" t="s">
        <v>242</v>
      </c>
      <c r="N243" s="169">
        <v>96287.630193472432</v>
      </c>
      <c r="O243" s="143">
        <f t="shared" si="10"/>
        <v>96287.630193472432</v>
      </c>
      <c r="P243" s="144">
        <f t="shared" si="11"/>
        <v>87477.889518572149</v>
      </c>
    </row>
    <row r="244" spans="3:16" x14ac:dyDescent="0.2">
      <c r="C244" s="145"/>
      <c r="D244" s="164" t="s">
        <v>330</v>
      </c>
      <c r="E244" s="137">
        <v>35461</v>
      </c>
      <c r="F244" s="172" t="str">
        <f t="shared" si="12"/>
        <v>1996-97</v>
      </c>
      <c r="H244" s="173" t="s">
        <v>190</v>
      </c>
      <c r="I244" s="174">
        <v>25184.239534746859</v>
      </c>
      <c r="J244" s="168">
        <f>IF(E244&lt;DATE(2016,1,1),IF(OR(M244="metres",M244="pipe"),INDEX('Scheme cost allocation'!$D$21:$D$42,MATCH(IF(MONTH(E244)&lt;7,YEAR(E244),YEAR(E244)+1),'Scheme cost allocation'!$C$21:$C$42,0))*'Scheme cost allocation'!$J$21,'Scheme cost allocation'!$J$21),'Scheme cost allocation'!$J$21)</f>
        <v>0.90850599752846017</v>
      </c>
      <c r="K244" s="47"/>
      <c r="L244" s="169">
        <v>1</v>
      </c>
      <c r="M244" s="175" t="s">
        <v>242</v>
      </c>
      <c r="N244" s="169">
        <v>98125.524258718331</v>
      </c>
      <c r="O244" s="143">
        <f t="shared" si="10"/>
        <v>98125.524258718331</v>
      </c>
      <c r="P244" s="144">
        <f t="shared" si="11"/>
        <v>89147.627299670014</v>
      </c>
    </row>
    <row r="245" spans="3:16" x14ac:dyDescent="0.2">
      <c r="C245" s="145"/>
      <c r="D245" s="164" t="s">
        <v>331</v>
      </c>
      <c r="E245" s="137">
        <v>35461</v>
      </c>
      <c r="F245" s="172" t="str">
        <f t="shared" si="12"/>
        <v>1996-97</v>
      </c>
      <c r="H245" s="173" t="s">
        <v>190</v>
      </c>
      <c r="I245" s="174">
        <v>25184.239534746859</v>
      </c>
      <c r="J245" s="168">
        <f>IF(E245&lt;DATE(2016,1,1),IF(OR(M245="metres",M245="pipe"),INDEX('Scheme cost allocation'!$D$21:$D$42,MATCH(IF(MONTH(E245)&lt;7,YEAR(E245),YEAR(E245)+1),'Scheme cost allocation'!$C$21:$C$42,0))*'Scheme cost allocation'!$J$21,'Scheme cost allocation'!$J$21),'Scheme cost allocation'!$J$21)</f>
        <v>0.90850599752846017</v>
      </c>
      <c r="K245" s="47"/>
      <c r="L245" s="169">
        <v>1</v>
      </c>
      <c r="M245" s="175" t="s">
        <v>242</v>
      </c>
      <c r="N245" s="169">
        <v>105480.88891460505</v>
      </c>
      <c r="O245" s="143">
        <f t="shared" si="10"/>
        <v>105480.88891460505</v>
      </c>
      <c r="P245" s="144">
        <f t="shared" si="11"/>
        <v>95830.020203551961</v>
      </c>
    </row>
    <row r="246" spans="3:16" x14ac:dyDescent="0.2">
      <c r="C246" s="145"/>
      <c r="D246" s="164" t="s">
        <v>332</v>
      </c>
      <c r="E246" s="137">
        <v>35461</v>
      </c>
      <c r="F246" s="172" t="str">
        <f t="shared" si="12"/>
        <v>1996-97</v>
      </c>
      <c r="H246" s="173" t="s">
        <v>190</v>
      </c>
      <c r="I246" s="174">
        <v>25184.239534746859</v>
      </c>
      <c r="J246" s="168">
        <f>IF(E246&lt;DATE(2016,1,1),IF(OR(M246="metres",M246="pipe"),INDEX('Scheme cost allocation'!$D$21:$D$42,MATCH(IF(MONTH(E246)&lt;7,YEAR(E246),YEAR(E246)+1),'Scheme cost allocation'!$C$21:$C$42,0))*'Scheme cost allocation'!$J$21,'Scheme cost allocation'!$J$21),'Scheme cost allocation'!$J$21)</f>
        <v>0.90850599752846017</v>
      </c>
      <c r="K246" s="47"/>
      <c r="L246" s="169">
        <v>1</v>
      </c>
      <c r="M246" s="175" t="s">
        <v>242</v>
      </c>
      <c r="N246" s="169">
        <v>122214.40338080475</v>
      </c>
      <c r="O246" s="143">
        <f t="shared" si="10"/>
        <v>122214.40338080475</v>
      </c>
      <c r="P246" s="144">
        <f t="shared" si="11"/>
        <v>111032.51845582364</v>
      </c>
    </row>
    <row r="247" spans="3:16" x14ac:dyDescent="0.2">
      <c r="C247" s="145"/>
      <c r="D247" s="164" t="s">
        <v>333</v>
      </c>
      <c r="E247" s="137">
        <v>35461</v>
      </c>
      <c r="F247" s="172" t="str">
        <f t="shared" si="12"/>
        <v>1996-97</v>
      </c>
      <c r="H247" s="173" t="s">
        <v>190</v>
      </c>
      <c r="I247" s="174">
        <v>25184.239534746859</v>
      </c>
      <c r="J247" s="168">
        <f>IF(E247&lt;DATE(2016,1,1),IF(OR(M247="metres",M247="pipe"),INDEX('Scheme cost allocation'!$D$21:$D$42,MATCH(IF(MONTH(E247)&lt;7,YEAR(E247),YEAR(E247)+1),'Scheme cost allocation'!$C$21:$C$42,0))*'Scheme cost allocation'!$J$21,'Scheme cost allocation'!$J$21),'Scheme cost allocation'!$J$21)</f>
        <v>0.90850599752846017</v>
      </c>
      <c r="K247" s="47"/>
      <c r="L247" s="169">
        <v>1</v>
      </c>
      <c r="M247" s="175" t="s">
        <v>242</v>
      </c>
      <c r="N247" s="169">
        <v>183932.47286314453</v>
      </c>
      <c r="O247" s="143">
        <f t="shared" si="10"/>
        <v>183932.47286314453</v>
      </c>
      <c r="P247" s="144">
        <f t="shared" si="11"/>
        <v>167103.75473640754</v>
      </c>
    </row>
    <row r="248" spans="3:16" x14ac:dyDescent="0.2">
      <c r="C248" s="145"/>
      <c r="D248" s="164" t="s">
        <v>334</v>
      </c>
      <c r="E248" s="137">
        <v>35461</v>
      </c>
      <c r="F248" s="172" t="str">
        <f t="shared" si="12"/>
        <v>1996-97</v>
      </c>
      <c r="H248" s="173" t="s">
        <v>190</v>
      </c>
      <c r="I248" s="174">
        <v>25184.239534746859</v>
      </c>
      <c r="J248" s="168">
        <f>IF(E248&lt;DATE(2016,1,1),IF(OR(M248="metres",M248="pipe"),INDEX('Scheme cost allocation'!$D$21:$D$42,MATCH(IF(MONTH(E248)&lt;7,YEAR(E248),YEAR(E248)+1),'Scheme cost allocation'!$C$21:$C$42,0))*'Scheme cost allocation'!$J$21,'Scheme cost allocation'!$J$21),'Scheme cost allocation'!$J$21)</f>
        <v>0.90850599752846017</v>
      </c>
      <c r="K248" s="47"/>
      <c r="L248" s="169">
        <v>1</v>
      </c>
      <c r="M248" s="175" t="s">
        <v>242</v>
      </c>
      <c r="N248" s="169">
        <v>206990.2771724292</v>
      </c>
      <c r="O248" s="143">
        <f t="shared" si="10"/>
        <v>206990.2771724292</v>
      </c>
      <c r="P248" s="144">
        <f t="shared" si="11"/>
        <v>188051.90824123024</v>
      </c>
    </row>
    <row r="249" spans="3:16" x14ac:dyDescent="0.2">
      <c r="C249" s="145"/>
      <c r="D249" s="164" t="s">
        <v>335</v>
      </c>
      <c r="E249" s="137">
        <v>35461</v>
      </c>
      <c r="F249" s="172" t="str">
        <f t="shared" si="12"/>
        <v>1996-97</v>
      </c>
      <c r="H249" s="173" t="s">
        <v>190</v>
      </c>
      <c r="I249" s="174">
        <v>25184.239534746859</v>
      </c>
      <c r="J249" s="168">
        <f>IF(E249&lt;DATE(2016,1,1),IF(OR(M249="metres",M249="pipe"),INDEX('Scheme cost allocation'!$D$21:$D$42,MATCH(IF(MONTH(E249)&lt;7,YEAR(E249),YEAR(E249)+1),'Scheme cost allocation'!$C$21:$C$42,0))*'Scheme cost allocation'!$J$21,'Scheme cost allocation'!$J$21),'Scheme cost allocation'!$J$21)</f>
        <v>0.90850599752846017</v>
      </c>
      <c r="K249" s="47"/>
      <c r="L249" s="169">
        <v>1</v>
      </c>
      <c r="M249" s="175" t="s">
        <v>242</v>
      </c>
      <c r="N249" s="169">
        <v>222495.41547748138</v>
      </c>
      <c r="O249" s="143">
        <f t="shared" si="10"/>
        <v>222495.41547748138</v>
      </c>
      <c r="P249" s="144">
        <f t="shared" si="11"/>
        <v>202138.41938387841</v>
      </c>
    </row>
    <row r="250" spans="3:16" x14ac:dyDescent="0.2">
      <c r="C250" s="145"/>
      <c r="D250" s="164" t="s">
        <v>336</v>
      </c>
      <c r="E250" s="137">
        <v>35461</v>
      </c>
      <c r="F250" s="172" t="str">
        <f t="shared" si="12"/>
        <v>1996-97</v>
      </c>
      <c r="H250" s="173" t="s">
        <v>190</v>
      </c>
      <c r="I250" s="174">
        <v>25184.239534746859</v>
      </c>
      <c r="J250" s="168">
        <f>IF(E250&lt;DATE(2016,1,1),IF(OR(M250="metres",M250="pipe"),INDEX('Scheme cost allocation'!$D$21:$D$42,MATCH(IF(MONTH(E250)&lt;7,YEAR(E250),YEAR(E250)+1),'Scheme cost allocation'!$C$21:$C$42,0))*'Scheme cost allocation'!$J$21,'Scheme cost allocation'!$J$21),'Scheme cost allocation'!$J$21)</f>
        <v>0.90850599752846017</v>
      </c>
      <c r="K250" s="47"/>
      <c r="L250" s="169">
        <v>1</v>
      </c>
      <c r="M250" s="175" t="s">
        <v>242</v>
      </c>
      <c r="N250" s="169">
        <v>232225.14575271236</v>
      </c>
      <c r="O250" s="143">
        <f t="shared" si="10"/>
        <v>232225.14575271236</v>
      </c>
      <c r="P250" s="144">
        <f t="shared" si="11"/>
        <v>210977.93769326</v>
      </c>
    </row>
    <row r="251" spans="3:16" x14ac:dyDescent="0.2">
      <c r="C251" s="145"/>
      <c r="D251" s="164" t="s">
        <v>337</v>
      </c>
      <c r="E251" s="137">
        <v>35461</v>
      </c>
      <c r="F251" s="172" t="str">
        <f t="shared" si="12"/>
        <v>1996-97</v>
      </c>
      <c r="H251" s="173" t="s">
        <v>190</v>
      </c>
      <c r="I251" s="174">
        <v>25184.239534746859</v>
      </c>
      <c r="J251" s="168">
        <f>IF(E251&lt;DATE(2016,1,1),IF(OR(M251="metres",M251="pipe"),INDEX('Scheme cost allocation'!$D$21:$D$42,MATCH(IF(MONTH(E251)&lt;7,YEAR(E251),YEAR(E251)+1),'Scheme cost allocation'!$C$21:$C$42,0))*'Scheme cost allocation'!$J$21,'Scheme cost allocation'!$J$21),'Scheme cost allocation'!$J$21)</f>
        <v>0.90850599752846017</v>
      </c>
      <c r="K251" s="47"/>
      <c r="L251" s="169">
        <v>1</v>
      </c>
      <c r="M251" s="175" t="s">
        <v>242</v>
      </c>
      <c r="N251" s="169">
        <v>240513.02163676597</v>
      </c>
      <c r="O251" s="143">
        <f t="shared" si="10"/>
        <v>240513.02163676597</v>
      </c>
      <c r="P251" s="144">
        <f t="shared" si="11"/>
        <v>218507.52264069419</v>
      </c>
    </row>
    <row r="252" spans="3:16" x14ac:dyDescent="0.2">
      <c r="C252" s="145"/>
      <c r="D252" s="164" t="s">
        <v>338</v>
      </c>
      <c r="E252" s="137">
        <v>35461</v>
      </c>
      <c r="F252" s="172" t="str">
        <f t="shared" si="12"/>
        <v>1996-97</v>
      </c>
      <c r="H252" s="173" t="s">
        <v>190</v>
      </c>
      <c r="I252" s="174">
        <v>25184.239534746859</v>
      </c>
      <c r="J252" s="168">
        <f>IF(E252&lt;DATE(2016,1,1),IF(OR(M252="metres",M252="pipe"),INDEX('Scheme cost allocation'!$D$21:$D$42,MATCH(IF(MONTH(E252)&lt;7,YEAR(E252),YEAR(E252)+1),'Scheme cost allocation'!$C$21:$C$42,0))*'Scheme cost allocation'!$J$21,'Scheme cost allocation'!$J$21),'Scheme cost allocation'!$J$21)</f>
        <v>0.90850599752846017</v>
      </c>
      <c r="K252" s="47"/>
      <c r="L252" s="169">
        <v>1</v>
      </c>
      <c r="M252" s="175" t="s">
        <v>242</v>
      </c>
      <c r="N252" s="169">
        <v>249362.75567524586</v>
      </c>
      <c r="O252" s="143">
        <f t="shared" si="10"/>
        <v>249362.75567524586</v>
      </c>
      <c r="P252" s="144">
        <f t="shared" si="11"/>
        <v>226547.55909118493</v>
      </c>
    </row>
    <row r="253" spans="3:16" x14ac:dyDescent="0.2">
      <c r="C253" s="145"/>
      <c r="D253" s="164" t="s">
        <v>339</v>
      </c>
      <c r="E253" s="137">
        <v>35461</v>
      </c>
      <c r="F253" s="172" t="str">
        <f t="shared" si="12"/>
        <v>1996-97</v>
      </c>
      <c r="H253" s="173" t="s">
        <v>190</v>
      </c>
      <c r="I253" s="174">
        <v>25184.239534746859</v>
      </c>
      <c r="J253" s="168">
        <f>IF(E253&lt;DATE(2016,1,1),IF(OR(M253="metres",M253="pipe"),INDEX('Scheme cost allocation'!$D$21:$D$42,MATCH(IF(MONTH(E253)&lt;7,YEAR(E253),YEAR(E253)+1),'Scheme cost allocation'!$C$21:$C$42,0))*'Scheme cost allocation'!$J$21,'Scheme cost allocation'!$J$21),'Scheme cost allocation'!$J$21)</f>
        <v>0.90850599752846017</v>
      </c>
      <c r="K253" s="47"/>
      <c r="L253" s="169">
        <v>1</v>
      </c>
      <c r="M253" s="175" t="s">
        <v>242</v>
      </c>
      <c r="N253" s="169">
        <v>302949.73221432185</v>
      </c>
      <c r="O253" s="143">
        <f t="shared" si="10"/>
        <v>302949.73221432185</v>
      </c>
      <c r="P253" s="144">
        <f t="shared" si="11"/>
        <v>275231.64866635238</v>
      </c>
    </row>
    <row r="254" spans="3:16" x14ac:dyDescent="0.2">
      <c r="C254" s="145"/>
      <c r="D254" s="164" t="s">
        <v>340</v>
      </c>
      <c r="E254" s="137">
        <v>35461</v>
      </c>
      <c r="F254" s="172" t="str">
        <f t="shared" si="12"/>
        <v>1996-97</v>
      </c>
      <c r="H254" s="173" t="s">
        <v>190</v>
      </c>
      <c r="I254" s="174">
        <v>25184.239534746859</v>
      </c>
      <c r="J254" s="168">
        <f>IF(E254&lt;DATE(2016,1,1),IF(OR(M254="metres",M254="pipe"),INDEX('Scheme cost allocation'!$D$21:$D$42,MATCH(IF(MONTH(E254)&lt;7,YEAR(E254),YEAR(E254)+1),'Scheme cost allocation'!$C$21:$C$42,0))*'Scheme cost allocation'!$J$21,'Scheme cost allocation'!$J$21),'Scheme cost allocation'!$J$21)</f>
        <v>0.90850599752846017</v>
      </c>
      <c r="K254" s="47"/>
      <c r="L254" s="169">
        <v>1</v>
      </c>
      <c r="M254" s="175" t="s">
        <v>242</v>
      </c>
      <c r="N254" s="169">
        <v>305847.8325428316</v>
      </c>
      <c r="O254" s="143">
        <f t="shared" si="10"/>
        <v>305847.8325428316</v>
      </c>
      <c r="P254" s="144">
        <f t="shared" si="11"/>
        <v>277864.59019624267</v>
      </c>
    </row>
    <row r="255" spans="3:16" x14ac:dyDescent="0.2">
      <c r="C255" s="145"/>
      <c r="D255" s="164" t="s">
        <v>341</v>
      </c>
      <c r="E255" s="137">
        <v>35461</v>
      </c>
      <c r="F255" s="172" t="str">
        <f t="shared" si="12"/>
        <v>1996-97</v>
      </c>
      <c r="H255" s="173" t="s">
        <v>190</v>
      </c>
      <c r="I255" s="174">
        <v>25184.239534746859</v>
      </c>
      <c r="J255" s="168">
        <f>IF(E255&lt;DATE(2016,1,1),IF(OR(M255="metres",M255="pipe"),INDEX('Scheme cost allocation'!$D$21:$D$42,MATCH(IF(MONTH(E255)&lt;7,YEAR(E255),YEAR(E255)+1),'Scheme cost allocation'!$C$21:$C$42,0))*'Scheme cost allocation'!$J$21,'Scheme cost allocation'!$J$21),'Scheme cost allocation'!$J$21)</f>
        <v>0.90850599752846017</v>
      </c>
      <c r="K255" s="47"/>
      <c r="L255" s="169">
        <v>1</v>
      </c>
      <c r="M255" s="175" t="s">
        <v>242</v>
      </c>
      <c r="N255" s="169">
        <v>398070.66741193732</v>
      </c>
      <c r="O255" s="143">
        <f t="shared" si="10"/>
        <v>398070.66741193732</v>
      </c>
      <c r="P255" s="144">
        <f t="shared" si="11"/>
        <v>361649.588783902</v>
      </c>
    </row>
    <row r="256" spans="3:16" x14ac:dyDescent="0.2">
      <c r="C256" s="145"/>
      <c r="D256" s="164" t="s">
        <v>342</v>
      </c>
      <c r="E256" s="137">
        <v>35461</v>
      </c>
      <c r="F256" s="172" t="str">
        <f t="shared" si="12"/>
        <v>1996-97</v>
      </c>
      <c r="H256" s="173" t="s">
        <v>190</v>
      </c>
      <c r="I256" s="174">
        <v>25184.239534746859</v>
      </c>
      <c r="J256" s="168">
        <f>IF(E256&lt;DATE(2016,1,1),IF(OR(M256="metres",M256="pipe"),INDEX('Scheme cost allocation'!$D$21:$D$42,MATCH(IF(MONTH(E256)&lt;7,YEAR(E256),YEAR(E256)+1),'Scheme cost allocation'!$C$21:$C$42,0))*'Scheme cost allocation'!$J$21,'Scheme cost allocation'!$J$21),'Scheme cost allocation'!$J$21)</f>
        <v>0.90850599752846017</v>
      </c>
      <c r="K256" s="47"/>
      <c r="L256" s="169">
        <v>1</v>
      </c>
      <c r="M256" s="175" t="s">
        <v>242</v>
      </c>
      <c r="N256" s="169">
        <v>439448.3003497615</v>
      </c>
      <c r="O256" s="143">
        <f t="shared" si="10"/>
        <v>439448.3003497615</v>
      </c>
      <c r="P256" s="144">
        <f t="shared" si="11"/>
        <v>399241.41647144646</v>
      </c>
    </row>
    <row r="257" spans="3:16" x14ac:dyDescent="0.2">
      <c r="C257" s="145"/>
      <c r="D257" s="164" t="s">
        <v>343</v>
      </c>
      <c r="E257" s="137">
        <v>35461</v>
      </c>
      <c r="F257" s="172" t="str">
        <f t="shared" si="12"/>
        <v>1996-97</v>
      </c>
      <c r="H257" s="173" t="s">
        <v>190</v>
      </c>
      <c r="I257" s="174">
        <v>25184.239534746859</v>
      </c>
      <c r="J257" s="168">
        <f>IF(E257&lt;DATE(2016,1,1),IF(OR(M257="metres",M257="pipe"),INDEX('Scheme cost allocation'!$D$21:$D$42,MATCH(IF(MONTH(E257)&lt;7,YEAR(E257),YEAR(E257)+1),'Scheme cost allocation'!$C$21:$C$42,0))*'Scheme cost allocation'!$J$21,'Scheme cost allocation'!$J$21),'Scheme cost allocation'!$J$21)</f>
        <v>0.90850599752846017</v>
      </c>
      <c r="K257" s="47"/>
      <c r="L257" s="169">
        <v>1</v>
      </c>
      <c r="M257" s="175" t="s">
        <v>242</v>
      </c>
      <c r="N257" s="169">
        <v>450718.7534141877</v>
      </c>
      <c r="O257" s="143">
        <f t="shared" si="10"/>
        <v>450718.7534141877</v>
      </c>
      <c r="P257" s="144">
        <f t="shared" si="11"/>
        <v>409480.69067534065</v>
      </c>
    </row>
    <row r="258" spans="3:16" x14ac:dyDescent="0.2">
      <c r="C258" s="145"/>
      <c r="D258" s="164" t="s">
        <v>344</v>
      </c>
      <c r="E258" s="137">
        <v>35461</v>
      </c>
      <c r="F258" s="172" t="str">
        <f t="shared" si="12"/>
        <v>1996-97</v>
      </c>
      <c r="H258" s="173" t="s">
        <v>190</v>
      </c>
      <c r="I258" s="174">
        <v>25184.239534746859</v>
      </c>
      <c r="J258" s="168">
        <f>IF(E258&lt;DATE(2016,1,1),IF(OR(M258="metres",M258="pipe"),INDEX('Scheme cost allocation'!$D$21:$D$42,MATCH(IF(MONTH(E258)&lt;7,YEAR(E258),YEAR(E258)+1),'Scheme cost allocation'!$C$21:$C$42,0))*'Scheme cost allocation'!$J$21,'Scheme cost allocation'!$J$21),'Scheme cost allocation'!$J$21)</f>
        <v>0.90850599752846017</v>
      </c>
      <c r="K258" s="47"/>
      <c r="L258" s="169">
        <v>1</v>
      </c>
      <c r="M258" s="175" t="s">
        <v>242</v>
      </c>
      <c r="N258" s="169">
        <v>550734.92622579727</v>
      </c>
      <c r="O258" s="143">
        <f t="shared" si="10"/>
        <v>550734.92622579727</v>
      </c>
      <c r="P258" s="144">
        <f t="shared" si="11"/>
        <v>500345.98352453089</v>
      </c>
    </row>
    <row r="259" spans="3:16" x14ac:dyDescent="0.2">
      <c r="C259" s="145"/>
      <c r="D259" s="164" t="s">
        <v>345</v>
      </c>
      <c r="E259" s="137">
        <v>35461</v>
      </c>
      <c r="F259" s="172" t="str">
        <f t="shared" si="12"/>
        <v>1996-97</v>
      </c>
      <c r="H259" s="173" t="s">
        <v>190</v>
      </c>
      <c r="I259" s="174">
        <v>25184.239534746859</v>
      </c>
      <c r="J259" s="168">
        <f>IF(E259&lt;DATE(2016,1,1),IF(OR(M259="metres",M259="pipe"),INDEX('Scheme cost allocation'!$D$21:$D$42,MATCH(IF(MONTH(E259)&lt;7,YEAR(E259),YEAR(E259)+1),'Scheme cost allocation'!$C$21:$C$42,0))*'Scheme cost allocation'!$J$21,'Scheme cost allocation'!$J$21),'Scheme cost allocation'!$J$21)</f>
        <v>0.90850599752846017</v>
      </c>
      <c r="K259" s="47"/>
      <c r="L259" s="169">
        <v>1</v>
      </c>
      <c r="M259" s="175" t="s">
        <v>242</v>
      </c>
      <c r="N259" s="169">
        <v>565838.03745104326</v>
      </c>
      <c r="O259" s="143">
        <f t="shared" si="10"/>
        <v>565838.03745104326</v>
      </c>
      <c r="P259" s="144">
        <f t="shared" si="11"/>
        <v>514067.25065400626</v>
      </c>
    </row>
    <row r="260" spans="3:16" x14ac:dyDescent="0.2">
      <c r="C260" s="145"/>
      <c r="D260" s="164" t="s">
        <v>346</v>
      </c>
      <c r="E260" s="137">
        <v>35461</v>
      </c>
      <c r="F260" s="172" t="str">
        <f t="shared" si="12"/>
        <v>1996-97</v>
      </c>
      <c r="H260" s="173" t="s">
        <v>190</v>
      </c>
      <c r="I260" s="174">
        <v>25184.239534746859</v>
      </c>
      <c r="J260" s="168">
        <f>IF(E260&lt;DATE(2016,1,1),IF(OR(M260="metres",M260="pipe"),INDEX('Scheme cost allocation'!$D$21:$D$42,MATCH(IF(MONTH(E260)&lt;7,YEAR(E260),YEAR(E260)+1),'Scheme cost allocation'!$C$21:$C$42,0))*'Scheme cost allocation'!$J$21,'Scheme cost allocation'!$J$21),'Scheme cost allocation'!$J$21)</f>
        <v>0.90850599752846017</v>
      </c>
      <c r="K260" s="47"/>
      <c r="L260" s="169">
        <v>1</v>
      </c>
      <c r="M260" s="175" t="s">
        <v>242</v>
      </c>
      <c r="N260" s="169">
        <v>569926.97834982106</v>
      </c>
      <c r="O260" s="143">
        <f t="shared" si="10"/>
        <v>569926.97834982106</v>
      </c>
      <c r="P260" s="144">
        <f t="shared" si="11"/>
        <v>517782.07798408531</v>
      </c>
    </row>
    <row r="261" spans="3:16" x14ac:dyDescent="0.2">
      <c r="C261" s="145"/>
      <c r="D261" s="164" t="s">
        <v>347</v>
      </c>
      <c r="E261" s="137">
        <v>35461</v>
      </c>
      <c r="F261" s="172" t="str">
        <f t="shared" si="12"/>
        <v>1996-97</v>
      </c>
      <c r="H261" s="173" t="s">
        <v>190</v>
      </c>
      <c r="I261" s="174">
        <v>25184.239534746859</v>
      </c>
      <c r="J261" s="168">
        <f>IF(E261&lt;DATE(2016,1,1),IF(OR(M261="metres",M261="pipe"),INDEX('Scheme cost allocation'!$D$21:$D$42,MATCH(IF(MONTH(E261)&lt;7,YEAR(E261),YEAR(E261)+1),'Scheme cost allocation'!$C$21:$C$42,0))*'Scheme cost allocation'!$J$21,'Scheme cost allocation'!$J$21),'Scheme cost allocation'!$J$21)</f>
        <v>0.90850599752846017</v>
      </c>
      <c r="K261" s="47"/>
      <c r="L261" s="169">
        <v>1</v>
      </c>
      <c r="M261" s="175" t="s">
        <v>242</v>
      </c>
      <c r="N261" s="169">
        <v>1051807.2393568552</v>
      </c>
      <c r="O261" s="143">
        <f t="shared" si="10"/>
        <v>1051807.2393568552</v>
      </c>
      <c r="P261" s="144">
        <f t="shared" si="11"/>
        <v>955573.18519955559</v>
      </c>
    </row>
    <row r="262" spans="3:16" x14ac:dyDescent="0.2">
      <c r="C262" s="145"/>
      <c r="D262" s="164" t="s">
        <v>348</v>
      </c>
      <c r="E262" s="137">
        <v>35461</v>
      </c>
      <c r="F262" s="172" t="str">
        <f t="shared" si="12"/>
        <v>1996-97</v>
      </c>
      <c r="H262" s="173" t="s">
        <v>190</v>
      </c>
      <c r="I262" s="174">
        <v>25184.239534746859</v>
      </c>
      <c r="J262" s="168">
        <f>IF(E262&lt;DATE(2016,1,1),IF(OR(M262="metres",M262="pipe"),INDEX('Scheme cost allocation'!$D$21:$D$42,MATCH(IF(MONTH(E262)&lt;7,YEAR(E262),YEAR(E262)+1),'Scheme cost allocation'!$C$21:$C$42,0))*'Scheme cost allocation'!$J$21,'Scheme cost allocation'!$J$21),'Scheme cost allocation'!$J$21)</f>
        <v>0.90850599752846017</v>
      </c>
      <c r="K262" s="47"/>
      <c r="L262" s="169">
        <v>1</v>
      </c>
      <c r="M262" s="175" t="s">
        <v>242</v>
      </c>
      <c r="N262" s="169">
        <v>1381342.1198934275</v>
      </c>
      <c r="O262" s="143">
        <f t="shared" si="10"/>
        <v>1381342.1198934275</v>
      </c>
      <c r="P262" s="144">
        <f t="shared" si="11"/>
        <v>1254957.6005618561</v>
      </c>
    </row>
    <row r="263" spans="3:16" x14ac:dyDescent="0.2">
      <c r="C263" s="145"/>
      <c r="D263" s="164" t="s">
        <v>349</v>
      </c>
      <c r="E263" s="137">
        <v>35461</v>
      </c>
      <c r="F263" s="172" t="str">
        <f t="shared" si="12"/>
        <v>1996-97</v>
      </c>
      <c r="H263" s="173" t="s">
        <v>190</v>
      </c>
      <c r="I263" s="174">
        <v>25184.239534746859</v>
      </c>
      <c r="J263" s="168">
        <f>IF(E263&lt;DATE(2016,1,1),IF(OR(M263="metres",M263="pipe"),INDEX('Scheme cost allocation'!$D$21:$D$42,MATCH(IF(MONTH(E263)&lt;7,YEAR(E263),YEAR(E263)+1),'Scheme cost allocation'!$C$21:$C$42,0))*'Scheme cost allocation'!$J$21,'Scheme cost allocation'!$J$21),'Scheme cost allocation'!$J$21)</f>
        <v>0.90850599752846017</v>
      </c>
      <c r="K263" s="47"/>
      <c r="L263" s="169">
        <v>1</v>
      </c>
      <c r="M263" s="175" t="s">
        <v>242</v>
      </c>
      <c r="N263" s="169">
        <v>1394378.2915684797</v>
      </c>
      <c r="O263" s="143">
        <f t="shared" si="10"/>
        <v>1394378.2915684797</v>
      </c>
      <c r="P263" s="144">
        <f t="shared" si="11"/>
        <v>1266801.0407134518</v>
      </c>
    </row>
    <row r="264" spans="3:16" x14ac:dyDescent="0.2">
      <c r="C264" s="145"/>
      <c r="D264" s="164" t="s">
        <v>350</v>
      </c>
      <c r="E264" s="137">
        <v>35461</v>
      </c>
      <c r="F264" s="172" t="str">
        <f t="shared" si="12"/>
        <v>1996-97</v>
      </c>
      <c r="H264" s="173" t="s">
        <v>190</v>
      </c>
      <c r="I264" s="174">
        <v>25184.239534746859</v>
      </c>
      <c r="J264" s="168">
        <f>IF(E264&lt;DATE(2016,1,1),IF(OR(M264="metres",M264="pipe"),INDEX('Scheme cost allocation'!$D$21:$D$42,MATCH(IF(MONTH(E264)&lt;7,YEAR(E264),YEAR(E264)+1),'Scheme cost allocation'!$C$21:$C$42,0))*'Scheme cost allocation'!$J$21,'Scheme cost allocation'!$J$21),'Scheme cost allocation'!$J$21)</f>
        <v>0.90850599752846017</v>
      </c>
      <c r="K264" s="47"/>
      <c r="L264" s="169">
        <v>1</v>
      </c>
      <c r="M264" s="175" t="s">
        <v>242</v>
      </c>
      <c r="N264" s="169">
        <v>1812248.0905014751</v>
      </c>
      <c r="O264" s="143">
        <f t="shared" si="10"/>
        <v>1812248.0905014751</v>
      </c>
      <c r="P264" s="144">
        <f t="shared" si="11"/>
        <v>1646438.2592300898</v>
      </c>
    </row>
    <row r="265" spans="3:16" x14ac:dyDescent="0.2">
      <c r="C265" s="145"/>
      <c r="D265" s="164" t="s">
        <v>351</v>
      </c>
      <c r="E265" s="137">
        <v>35461</v>
      </c>
      <c r="F265" s="172" t="str">
        <f t="shared" si="12"/>
        <v>1996-97</v>
      </c>
      <c r="H265" s="173" t="s">
        <v>190</v>
      </c>
      <c r="I265" s="174">
        <v>25184.239534746859</v>
      </c>
      <c r="J265" s="168">
        <f>IF(E265&lt;DATE(2016,1,1),IF(OR(M265="metres",M265="pipe"),INDEX('Scheme cost allocation'!$D$21:$D$42,MATCH(IF(MONTH(E265)&lt;7,YEAR(E265),YEAR(E265)+1),'Scheme cost allocation'!$C$21:$C$42,0))*'Scheme cost allocation'!$J$21,'Scheme cost allocation'!$J$21),'Scheme cost allocation'!$J$21)</f>
        <v>0.90850599752846017</v>
      </c>
      <c r="K265" s="47"/>
      <c r="L265" s="169">
        <v>1</v>
      </c>
      <c r="M265" s="175" t="s">
        <v>242</v>
      </c>
      <c r="N265" s="169">
        <v>2298482.8501810427</v>
      </c>
      <c r="O265" s="143">
        <f t="shared" si="10"/>
        <v>2298482.8501810427</v>
      </c>
      <c r="P265" s="144">
        <f t="shared" si="11"/>
        <v>2088185.4546057864</v>
      </c>
    </row>
    <row r="266" spans="3:16" x14ac:dyDescent="0.2">
      <c r="C266" s="145"/>
      <c r="D266" s="164" t="s">
        <v>352</v>
      </c>
      <c r="E266" s="137">
        <v>35461</v>
      </c>
      <c r="F266" s="172" t="str">
        <f t="shared" si="12"/>
        <v>1996-97</v>
      </c>
      <c r="H266" s="173" t="s">
        <v>190</v>
      </c>
      <c r="I266" s="174">
        <v>25184.239534746859</v>
      </c>
      <c r="J266" s="168">
        <f>IF(E266&lt;DATE(2016,1,1),IF(OR(M266="metres",M266="pipe"),INDEX('Scheme cost allocation'!$D$21:$D$42,MATCH(IF(MONTH(E266)&lt;7,YEAR(E266),YEAR(E266)+1),'Scheme cost allocation'!$C$21:$C$42,0))*'Scheme cost allocation'!$J$21,'Scheme cost allocation'!$J$21),'Scheme cost allocation'!$J$21)</f>
        <v>0.90850599752846017</v>
      </c>
      <c r="K266" s="47"/>
      <c r="L266" s="169">
        <v>1</v>
      </c>
      <c r="M266" s="175" t="s">
        <v>242</v>
      </c>
      <c r="N266" s="169">
        <v>2300757.824865141</v>
      </c>
      <c r="O266" s="143">
        <f t="shared" si="10"/>
        <v>2300757.824865141</v>
      </c>
      <c r="P266" s="144">
        <f t="shared" si="11"/>
        <v>2090252.2827505153</v>
      </c>
    </row>
    <row r="267" spans="3:16" x14ac:dyDescent="0.2">
      <c r="C267" s="145"/>
      <c r="D267" s="164" t="s">
        <v>353</v>
      </c>
      <c r="E267" s="137">
        <v>35461</v>
      </c>
      <c r="F267" s="172" t="str">
        <f t="shared" si="12"/>
        <v>1996-97</v>
      </c>
      <c r="H267" s="173" t="s">
        <v>190</v>
      </c>
      <c r="I267" s="174">
        <v>25184.239534746859</v>
      </c>
      <c r="J267" s="168">
        <f>IF(E267&lt;DATE(2016,1,1),IF(OR(M267="metres",M267="pipe"),INDEX('Scheme cost allocation'!$D$21:$D$42,MATCH(IF(MONTH(E267)&lt;7,YEAR(E267),YEAR(E267)+1),'Scheme cost allocation'!$C$21:$C$42,0))*'Scheme cost allocation'!$J$21,'Scheme cost allocation'!$J$21),'Scheme cost allocation'!$J$21)</f>
        <v>0.90850599752846017</v>
      </c>
      <c r="K267" s="47"/>
      <c r="L267" s="169">
        <v>1</v>
      </c>
      <c r="M267" s="175" t="s">
        <v>242</v>
      </c>
      <c r="N267" s="169">
        <v>3004035.3240478234</v>
      </c>
      <c r="O267" s="143">
        <f t="shared" si="10"/>
        <v>3004035.3240478234</v>
      </c>
      <c r="P267" s="144">
        <f t="shared" si="11"/>
        <v>2729184.1086847992</v>
      </c>
    </row>
    <row r="268" spans="3:16" x14ac:dyDescent="0.2">
      <c r="C268" s="145"/>
      <c r="D268" s="164" t="s">
        <v>354</v>
      </c>
      <c r="E268" s="137">
        <v>35764</v>
      </c>
      <c r="F268" s="172" t="str">
        <f t="shared" si="12"/>
        <v>1997-98</v>
      </c>
      <c r="H268" s="173" t="s">
        <v>190</v>
      </c>
      <c r="I268" s="174">
        <v>25184.239534746859</v>
      </c>
      <c r="J268" s="168">
        <f>IF(E268&lt;DATE(2016,1,1),IF(OR(M268="metres",M268="pipe"),INDEX('Scheme cost allocation'!$D$21:$D$42,MATCH(IF(MONTH(E268)&lt;7,YEAR(E268),YEAR(E268)+1),'Scheme cost allocation'!$C$21:$C$42,0))*'Scheme cost allocation'!$J$21,'Scheme cost allocation'!$J$21),'Scheme cost allocation'!$J$21)</f>
        <v>0.90850599752846017</v>
      </c>
      <c r="K268" s="47"/>
      <c r="L268" s="169">
        <v>1</v>
      </c>
      <c r="M268" s="175" t="s">
        <v>242</v>
      </c>
      <c r="N268" s="169">
        <v>6015.9792871107775</v>
      </c>
      <c r="O268" s="143">
        <f t="shared" si="10"/>
        <v>6015.9792871107775</v>
      </c>
      <c r="P268" s="144">
        <f t="shared" si="11"/>
        <v>5465.5532633471312</v>
      </c>
    </row>
    <row r="269" spans="3:16" x14ac:dyDescent="0.2">
      <c r="C269" s="145"/>
      <c r="D269" s="164" t="s">
        <v>355</v>
      </c>
      <c r="E269" s="137">
        <v>35764</v>
      </c>
      <c r="F269" s="172" t="str">
        <f t="shared" si="12"/>
        <v>1997-98</v>
      </c>
      <c r="H269" s="173" t="s">
        <v>190</v>
      </c>
      <c r="I269" s="174">
        <v>25184.239534746859</v>
      </c>
      <c r="J269" s="168">
        <f>IF(E269&lt;DATE(2016,1,1),IF(OR(M269="metres",M269="pipe"),INDEX('Scheme cost allocation'!$D$21:$D$42,MATCH(IF(MONTH(E269)&lt;7,YEAR(E269),YEAR(E269)+1),'Scheme cost allocation'!$C$21:$C$42,0))*'Scheme cost allocation'!$J$21,'Scheme cost allocation'!$J$21),'Scheme cost allocation'!$J$21)</f>
        <v>0.90850599752846017</v>
      </c>
      <c r="K269" s="47"/>
      <c r="L269" s="169">
        <v>1</v>
      </c>
      <c r="M269" s="175" t="s">
        <v>242</v>
      </c>
      <c r="N269" s="169">
        <v>29452.004007859276</v>
      </c>
      <c r="O269" s="143">
        <f t="shared" si="10"/>
        <v>29452.004007859276</v>
      </c>
      <c r="P269" s="144">
        <f t="shared" si="11"/>
        <v>26757.322280372398</v>
      </c>
    </row>
    <row r="270" spans="3:16" x14ac:dyDescent="0.2">
      <c r="C270" s="145"/>
      <c r="D270" s="164" t="s">
        <v>356</v>
      </c>
      <c r="E270" s="137">
        <v>35764</v>
      </c>
      <c r="F270" s="172" t="str">
        <f t="shared" si="12"/>
        <v>1997-98</v>
      </c>
      <c r="H270" s="173" t="s">
        <v>190</v>
      </c>
      <c r="I270" s="174">
        <v>25184.239534746859</v>
      </c>
      <c r="J270" s="168">
        <f>IF(E270&lt;DATE(2016,1,1),IF(OR(M270="metres",M270="pipe"),INDEX('Scheme cost allocation'!$D$21:$D$42,MATCH(IF(MONTH(E270)&lt;7,YEAR(E270),YEAR(E270)+1),'Scheme cost allocation'!$C$21:$C$42,0))*'Scheme cost allocation'!$J$21,'Scheme cost allocation'!$J$21),'Scheme cost allocation'!$J$21)</f>
        <v>0.90850599752846017</v>
      </c>
      <c r="K270" s="47"/>
      <c r="L270" s="169">
        <v>1</v>
      </c>
      <c r="M270" s="175" t="s">
        <v>242</v>
      </c>
      <c r="N270" s="169">
        <v>369188.06278892211</v>
      </c>
      <c r="O270" s="143">
        <f t="shared" si="10"/>
        <v>369188.06278892211</v>
      </c>
      <c r="P270" s="144">
        <f t="shared" si="11"/>
        <v>335409.56925964949</v>
      </c>
    </row>
    <row r="271" spans="3:16" x14ac:dyDescent="0.2">
      <c r="C271" s="145"/>
      <c r="D271" s="164" t="s">
        <v>357</v>
      </c>
      <c r="E271" s="137">
        <v>35764</v>
      </c>
      <c r="F271" s="172" t="str">
        <f t="shared" si="12"/>
        <v>1997-98</v>
      </c>
      <c r="H271" s="173" t="s">
        <v>190</v>
      </c>
      <c r="I271" s="174">
        <v>25184.239534746859</v>
      </c>
      <c r="J271" s="168">
        <f>IF(E271&lt;DATE(2016,1,1),IF(OR(M271="metres",M271="pipe"),INDEX('Scheme cost allocation'!$D$21:$D$42,MATCH(IF(MONTH(E271)&lt;7,YEAR(E271),YEAR(E271)+1),'Scheme cost allocation'!$C$21:$C$42,0))*'Scheme cost allocation'!$J$21,'Scheme cost allocation'!$J$21),'Scheme cost allocation'!$J$21)</f>
        <v>0.90850599752846017</v>
      </c>
      <c r="K271" s="47"/>
      <c r="L271" s="169">
        <v>1</v>
      </c>
      <c r="M271" s="175" t="s">
        <v>242</v>
      </c>
      <c r="N271" s="169">
        <v>503808.87726175139</v>
      </c>
      <c r="O271" s="143">
        <f t="shared" si="10"/>
        <v>503808.87726175139</v>
      </c>
      <c r="P271" s="144">
        <f t="shared" si="11"/>
        <v>457713.386600381</v>
      </c>
    </row>
    <row r="272" spans="3:16" x14ac:dyDescent="0.2">
      <c r="C272" s="145"/>
      <c r="D272" s="164" t="s">
        <v>358</v>
      </c>
      <c r="E272" s="137">
        <v>35764</v>
      </c>
      <c r="F272" s="172" t="str">
        <f t="shared" si="12"/>
        <v>1997-98</v>
      </c>
      <c r="H272" s="173" t="s">
        <v>190</v>
      </c>
      <c r="I272" s="174">
        <v>25184.239534746859</v>
      </c>
      <c r="J272" s="168">
        <f>IF(E272&lt;DATE(2016,1,1),IF(OR(M272="metres",M272="pipe"),INDEX('Scheme cost allocation'!$D$21:$D$42,MATCH(IF(MONTH(E272)&lt;7,YEAR(E272),YEAR(E272)+1),'Scheme cost allocation'!$C$21:$C$42,0))*'Scheme cost allocation'!$J$21,'Scheme cost allocation'!$J$21),'Scheme cost allocation'!$J$21)</f>
        <v>0.90850599752846017</v>
      </c>
      <c r="K272" s="47"/>
      <c r="L272" s="169">
        <v>1</v>
      </c>
      <c r="M272" s="175" t="s">
        <v>242</v>
      </c>
      <c r="N272" s="169">
        <v>590980.22620544909</v>
      </c>
      <c r="O272" s="143">
        <f t="shared" si="10"/>
        <v>590980.22620544909</v>
      </c>
      <c r="P272" s="144">
        <f t="shared" si="11"/>
        <v>536909.0799283766</v>
      </c>
    </row>
    <row r="273" spans="3:16" x14ac:dyDescent="0.2">
      <c r="C273" s="145"/>
      <c r="D273" s="164" t="s">
        <v>359</v>
      </c>
      <c r="E273" s="137">
        <v>35764</v>
      </c>
      <c r="F273" s="172" t="str">
        <f t="shared" si="12"/>
        <v>1997-98</v>
      </c>
      <c r="H273" s="173" t="s">
        <v>190</v>
      </c>
      <c r="I273" s="174">
        <v>25184.239534746859</v>
      </c>
      <c r="J273" s="168">
        <f>IF(E273&lt;DATE(2016,1,1),IF(OR(M273="metres",M273="pipe"),INDEX('Scheme cost allocation'!$D$21:$D$42,MATCH(IF(MONTH(E273)&lt;7,YEAR(E273),YEAR(E273)+1),'Scheme cost allocation'!$C$21:$C$42,0))*'Scheme cost allocation'!$J$21,'Scheme cost allocation'!$J$21),'Scheme cost allocation'!$J$21)</f>
        <v>0.90850599752846017</v>
      </c>
      <c r="K273" s="47"/>
      <c r="L273" s="169">
        <v>1</v>
      </c>
      <c r="M273" s="175" t="s">
        <v>242</v>
      </c>
      <c r="N273" s="169">
        <v>723451.00665967062</v>
      </c>
      <c r="O273" s="143">
        <f t="shared" si="10"/>
        <v>723451.00665967062</v>
      </c>
      <c r="P273" s="144">
        <f t="shared" si="11"/>
        <v>657259.57846831274</v>
      </c>
    </row>
    <row r="274" spans="3:16" x14ac:dyDescent="0.2">
      <c r="C274" s="145"/>
      <c r="D274" s="164" t="s">
        <v>360</v>
      </c>
      <c r="E274" s="137">
        <v>35764</v>
      </c>
      <c r="F274" s="172" t="str">
        <f t="shared" si="12"/>
        <v>1997-98</v>
      </c>
      <c r="H274" s="173" t="s">
        <v>190</v>
      </c>
      <c r="I274" s="174">
        <v>25184.239534746859</v>
      </c>
      <c r="J274" s="168">
        <f>IF(E274&lt;DATE(2016,1,1),IF(OR(M274="metres",M274="pipe"),INDEX('Scheme cost allocation'!$D$21:$D$42,MATCH(IF(MONTH(E274)&lt;7,YEAR(E274),YEAR(E274)+1),'Scheme cost allocation'!$C$21:$C$42,0))*'Scheme cost allocation'!$J$21,'Scheme cost allocation'!$J$21),'Scheme cost allocation'!$J$21)</f>
        <v>0.90850599752846017</v>
      </c>
      <c r="K274" s="47"/>
      <c r="L274" s="169">
        <v>1</v>
      </c>
      <c r="M274" s="175" t="s">
        <v>242</v>
      </c>
      <c r="N274" s="169">
        <v>5380447.8733386826</v>
      </c>
      <c r="O274" s="143">
        <f t="shared" si="10"/>
        <v>5380447.8733386826</v>
      </c>
      <c r="P274" s="144">
        <f t="shared" si="11"/>
        <v>4888169.1623174418</v>
      </c>
    </row>
    <row r="275" spans="3:16" x14ac:dyDescent="0.2">
      <c r="C275" s="145"/>
      <c r="D275" s="164" t="s">
        <v>361</v>
      </c>
      <c r="E275" s="137">
        <v>35978</v>
      </c>
      <c r="F275" s="172" t="str">
        <f t="shared" si="12"/>
        <v>1998-99</v>
      </c>
      <c r="H275" s="173" t="s">
        <v>190</v>
      </c>
      <c r="I275" s="174">
        <v>25184.239534746859</v>
      </c>
      <c r="J275" s="168">
        <f>IF(E275&lt;DATE(2016,1,1),IF(OR(M275="metres",M275="pipe"),INDEX('Scheme cost allocation'!$D$21:$D$42,MATCH(IF(MONTH(E275)&lt;7,YEAR(E275),YEAR(E275)+1),'Scheme cost allocation'!$C$21:$C$42,0))*'Scheme cost allocation'!$J$21,'Scheme cost allocation'!$J$21),'Scheme cost allocation'!$J$21)</f>
        <v>0.90850599752846017</v>
      </c>
      <c r="K275" s="47"/>
      <c r="L275" s="169">
        <v>1</v>
      </c>
      <c r="M275" s="175" t="s">
        <v>242</v>
      </c>
      <c r="N275" s="169">
        <v>10940.719977777779</v>
      </c>
      <c r="O275" s="143">
        <f t="shared" si="10"/>
        <v>10940.719977777779</v>
      </c>
      <c r="P275" s="144">
        <f t="shared" si="11"/>
        <v>9939.7097170905527</v>
      </c>
    </row>
    <row r="276" spans="3:16" x14ac:dyDescent="0.2">
      <c r="C276" s="145"/>
      <c r="D276" s="164" t="s">
        <v>362</v>
      </c>
      <c r="E276" s="137">
        <v>35978</v>
      </c>
      <c r="F276" s="172" t="str">
        <f t="shared" si="12"/>
        <v>1998-99</v>
      </c>
      <c r="H276" s="173" t="s">
        <v>190</v>
      </c>
      <c r="I276" s="174">
        <v>25184.239534746859</v>
      </c>
      <c r="J276" s="168">
        <f>IF(E276&lt;DATE(2016,1,1),IF(OR(M276="metres",M276="pipe"),INDEX('Scheme cost allocation'!$D$21:$D$42,MATCH(IF(MONTH(E276)&lt;7,YEAR(E276),YEAR(E276)+1),'Scheme cost allocation'!$C$21:$C$42,0))*'Scheme cost allocation'!$J$21,'Scheme cost allocation'!$J$21),'Scheme cost allocation'!$J$21)</f>
        <v>0.90850599752846017</v>
      </c>
      <c r="K276" s="47"/>
      <c r="L276" s="169">
        <v>1</v>
      </c>
      <c r="M276" s="175" t="s">
        <v>242</v>
      </c>
      <c r="N276" s="169">
        <v>34214.28268247407</v>
      </c>
      <c r="O276" s="143">
        <f t="shared" si="10"/>
        <v>34214.28268247407</v>
      </c>
      <c r="P276" s="144">
        <f t="shared" si="11"/>
        <v>31083.881018161825</v>
      </c>
    </row>
    <row r="277" spans="3:16" x14ac:dyDescent="0.2">
      <c r="C277" s="145"/>
      <c r="D277" s="164" t="s">
        <v>363</v>
      </c>
      <c r="E277" s="137">
        <v>36124</v>
      </c>
      <c r="F277" s="172" t="str">
        <f t="shared" si="12"/>
        <v>1998-99</v>
      </c>
      <c r="H277" s="173" t="s">
        <v>190</v>
      </c>
      <c r="I277" s="174">
        <v>25184.239534746859</v>
      </c>
      <c r="J277" s="168">
        <f>IF(E277&lt;DATE(2016,1,1),IF(OR(M277="metres",M277="pipe"),INDEX('Scheme cost allocation'!$D$21:$D$42,MATCH(IF(MONTH(E277)&lt;7,YEAR(E277),YEAR(E277)+1),'Scheme cost allocation'!$C$21:$C$42,0))*'Scheme cost allocation'!$J$21,'Scheme cost allocation'!$J$21),'Scheme cost allocation'!$J$21)</f>
        <v>0.90850599752846017</v>
      </c>
      <c r="K277" s="47"/>
      <c r="L277" s="169">
        <v>1</v>
      </c>
      <c r="M277" s="175" t="s">
        <v>242</v>
      </c>
      <c r="N277" s="169">
        <v>44978.667095427722</v>
      </c>
      <c r="O277" s="143">
        <f t="shared" si="10"/>
        <v>44978.667095427722</v>
      </c>
      <c r="P277" s="144">
        <f t="shared" si="11"/>
        <v>40863.388817032093</v>
      </c>
    </row>
    <row r="278" spans="3:16" x14ac:dyDescent="0.2">
      <c r="C278" s="145"/>
      <c r="D278" s="164" t="s">
        <v>364</v>
      </c>
      <c r="E278" s="137">
        <v>36229</v>
      </c>
      <c r="F278" s="172" t="str">
        <f t="shared" si="12"/>
        <v>1998-99</v>
      </c>
      <c r="H278" s="173" t="s">
        <v>190</v>
      </c>
      <c r="I278" s="174">
        <v>25184.239534746859</v>
      </c>
      <c r="J278" s="168">
        <f>IF(E278&lt;DATE(2016,1,1),IF(OR(M278="metres",M278="pipe"),INDEX('Scheme cost allocation'!$D$21:$D$42,MATCH(IF(MONTH(E278)&lt;7,YEAR(E278),YEAR(E278)+1),'Scheme cost allocation'!$C$21:$C$42,0))*'Scheme cost allocation'!$J$21,'Scheme cost allocation'!$J$21),'Scheme cost allocation'!$J$21)</f>
        <v>0.90850599752846017</v>
      </c>
      <c r="K278" s="47"/>
      <c r="L278" s="169">
        <v>1</v>
      </c>
      <c r="M278" s="175" t="s">
        <v>242</v>
      </c>
      <c r="N278" s="169">
        <v>168330.89631784658</v>
      </c>
      <c r="O278" s="143">
        <f t="shared" ref="O278:O341" si="13">IF(N278="","-",L278*N278)</f>
        <v>168330.89631784658</v>
      </c>
      <c r="P278" s="144">
        <f t="shared" ref="P278:P341" si="14">IF(O278="-","-",IF(OR(E278&lt;$E$15,E278&gt;$E$16),0,O278*J278))</f>
        <v>152929.62887410502</v>
      </c>
    </row>
    <row r="279" spans="3:16" x14ac:dyDescent="0.2">
      <c r="C279" s="145"/>
      <c r="D279" s="164" t="s">
        <v>365</v>
      </c>
      <c r="E279" s="137">
        <v>36236</v>
      </c>
      <c r="F279" s="172" t="str">
        <f t="shared" si="12"/>
        <v>1998-99</v>
      </c>
      <c r="H279" s="173" t="s">
        <v>190</v>
      </c>
      <c r="I279" s="174">
        <v>25184.239534746859</v>
      </c>
      <c r="J279" s="168">
        <f>IF(E279&lt;DATE(2016,1,1),IF(OR(M279="metres",M279="pipe"),INDEX('Scheme cost allocation'!$D$21:$D$42,MATCH(IF(MONTH(E279)&lt;7,YEAR(E279),YEAR(E279)+1),'Scheme cost allocation'!$C$21:$C$42,0))*'Scheme cost allocation'!$J$21,'Scheme cost allocation'!$J$21),'Scheme cost allocation'!$J$21)</f>
        <v>0.90850599752846017</v>
      </c>
      <c r="K279" s="47"/>
      <c r="L279" s="169">
        <v>1</v>
      </c>
      <c r="M279" s="175" t="s">
        <v>242</v>
      </c>
      <c r="N279" s="169">
        <v>144214.41761558995</v>
      </c>
      <c r="O279" s="143">
        <f t="shared" si="13"/>
        <v>144214.41761558995</v>
      </c>
      <c r="P279" s="144">
        <f t="shared" si="14"/>
        <v>131019.66333383748</v>
      </c>
    </row>
    <row r="280" spans="3:16" x14ac:dyDescent="0.2">
      <c r="C280" s="145"/>
      <c r="D280" s="164" t="s">
        <v>366</v>
      </c>
      <c r="E280" s="137">
        <v>36236</v>
      </c>
      <c r="F280" s="172" t="str">
        <f t="shared" si="12"/>
        <v>1998-99</v>
      </c>
      <c r="H280" s="173" t="s">
        <v>190</v>
      </c>
      <c r="I280" s="174">
        <v>25184.239534746859</v>
      </c>
      <c r="J280" s="168">
        <f>IF(E280&lt;DATE(2016,1,1),IF(OR(M280="metres",M280="pipe"),INDEX('Scheme cost allocation'!$D$21:$D$42,MATCH(IF(MONTH(E280)&lt;7,YEAR(E280),YEAR(E280)+1),'Scheme cost allocation'!$C$21:$C$42,0))*'Scheme cost allocation'!$J$21,'Scheme cost allocation'!$J$21),'Scheme cost allocation'!$J$21)</f>
        <v>0.90850599752846017</v>
      </c>
      <c r="K280" s="47"/>
      <c r="L280" s="169">
        <v>1</v>
      </c>
      <c r="M280" s="175" t="s">
        <v>242</v>
      </c>
      <c r="N280" s="169">
        <v>281230.45142641588</v>
      </c>
      <c r="O280" s="143">
        <f t="shared" si="13"/>
        <v>281230.45142641588</v>
      </c>
      <c r="P280" s="144">
        <f t="shared" si="14"/>
        <v>255499.55180853512</v>
      </c>
    </row>
    <row r="281" spans="3:16" x14ac:dyDescent="0.2">
      <c r="C281" s="145"/>
      <c r="D281" s="164" t="s">
        <v>367</v>
      </c>
      <c r="E281" s="137">
        <v>36244</v>
      </c>
      <c r="F281" s="172" t="str">
        <f t="shared" si="12"/>
        <v>1998-99</v>
      </c>
      <c r="H281" s="173" t="s">
        <v>190</v>
      </c>
      <c r="I281" s="174">
        <v>25184.239534746859</v>
      </c>
      <c r="J281" s="168">
        <f>IF(E281&lt;DATE(2016,1,1),IF(OR(M281="metres",M281="pipe"),INDEX('Scheme cost allocation'!$D$21:$D$42,MATCH(IF(MONTH(E281)&lt;7,YEAR(E281),YEAR(E281)+1),'Scheme cost allocation'!$C$21:$C$42,0))*'Scheme cost allocation'!$J$21,'Scheme cost allocation'!$J$21),'Scheme cost allocation'!$J$21)</f>
        <v>0.90850599752846017</v>
      </c>
      <c r="K281" s="47"/>
      <c r="L281" s="169">
        <v>1</v>
      </c>
      <c r="M281" s="175" t="s">
        <v>242</v>
      </c>
      <c r="N281" s="169">
        <v>161311.33601120941</v>
      </c>
      <c r="O281" s="143">
        <f t="shared" si="13"/>
        <v>161311.33601120941</v>
      </c>
      <c r="P281" s="144">
        <f t="shared" si="14"/>
        <v>146552.31623551244</v>
      </c>
    </row>
    <row r="282" spans="3:16" x14ac:dyDescent="0.2">
      <c r="C282" s="145"/>
      <c r="D282" s="164" t="s">
        <v>368</v>
      </c>
      <c r="E282" s="137">
        <v>36342</v>
      </c>
      <c r="F282" s="172" t="str">
        <f t="shared" si="12"/>
        <v>1999-00</v>
      </c>
      <c r="H282" s="173" t="s">
        <v>190</v>
      </c>
      <c r="I282" s="174">
        <v>25184.239534746859</v>
      </c>
      <c r="J282" s="168">
        <f>IF(E282&lt;DATE(2016,1,1),IF(OR(M282="metres",M282="pipe"),INDEX('Scheme cost allocation'!$D$21:$D$42,MATCH(IF(MONTH(E282)&lt;7,YEAR(E282),YEAR(E282)+1),'Scheme cost allocation'!$C$21:$C$42,0))*'Scheme cost allocation'!$J$21,'Scheme cost allocation'!$J$21),'Scheme cost allocation'!$J$21)</f>
        <v>0.90850599752846017</v>
      </c>
      <c r="K282" s="47"/>
      <c r="L282" s="169">
        <v>1</v>
      </c>
      <c r="M282" s="175" t="s">
        <v>242</v>
      </c>
      <c r="N282" s="169">
        <v>154295.79447234349</v>
      </c>
      <c r="O282" s="143">
        <f t="shared" si="13"/>
        <v>154295.79447234349</v>
      </c>
      <c r="P282" s="144">
        <f t="shared" si="14"/>
        <v>140178.6546715427</v>
      </c>
    </row>
    <row r="283" spans="3:16" x14ac:dyDescent="0.2">
      <c r="C283" s="145"/>
      <c r="D283" s="164" t="s">
        <v>369</v>
      </c>
      <c r="E283" s="137">
        <v>36342</v>
      </c>
      <c r="F283" s="172" t="str">
        <f t="shared" si="12"/>
        <v>1999-00</v>
      </c>
      <c r="H283" s="173" t="s">
        <v>190</v>
      </c>
      <c r="I283" s="174">
        <v>25184.239534746859</v>
      </c>
      <c r="J283" s="168">
        <f>IF(E283&lt;DATE(2016,1,1),IF(OR(M283="metres",M283="pipe"),INDEX('Scheme cost allocation'!$D$21:$D$42,MATCH(IF(MONTH(E283)&lt;7,YEAR(E283),YEAR(E283)+1),'Scheme cost allocation'!$C$21:$C$42,0))*'Scheme cost allocation'!$J$21,'Scheme cost allocation'!$J$21),'Scheme cost allocation'!$J$21)</f>
        <v>0.90850599752846017</v>
      </c>
      <c r="K283" s="47"/>
      <c r="L283" s="169">
        <v>1</v>
      </c>
      <c r="M283" s="175" t="s">
        <v>242</v>
      </c>
      <c r="N283" s="169">
        <v>268545.83611902472</v>
      </c>
      <c r="O283" s="143">
        <f t="shared" si="13"/>
        <v>268545.83611902472</v>
      </c>
      <c r="P283" s="144">
        <f t="shared" si="14"/>
        <v>243975.50272542896</v>
      </c>
    </row>
    <row r="284" spans="3:16" x14ac:dyDescent="0.2">
      <c r="C284" s="145"/>
      <c r="D284" s="164" t="s">
        <v>370</v>
      </c>
      <c r="E284" s="137">
        <v>36342</v>
      </c>
      <c r="F284" s="172" t="str">
        <f t="shared" si="12"/>
        <v>1999-00</v>
      </c>
      <c r="H284" s="173" t="s">
        <v>190</v>
      </c>
      <c r="I284" s="174">
        <v>25184.239534746859</v>
      </c>
      <c r="J284" s="168">
        <f>IF(E284&lt;DATE(2016,1,1),IF(OR(M284="metres",M284="pipe"),INDEX('Scheme cost allocation'!$D$21:$D$42,MATCH(IF(MONTH(E284)&lt;7,YEAR(E284),YEAR(E284)+1),'Scheme cost allocation'!$C$21:$C$42,0))*'Scheme cost allocation'!$J$21,'Scheme cost allocation'!$J$21),'Scheme cost allocation'!$J$21)</f>
        <v>0.90850599752846017</v>
      </c>
      <c r="K284" s="47"/>
      <c r="L284" s="169">
        <v>1</v>
      </c>
      <c r="M284" s="175" t="s">
        <v>242</v>
      </c>
      <c r="N284" s="169">
        <v>334465.62684970885</v>
      </c>
      <c r="O284" s="143">
        <f t="shared" si="13"/>
        <v>334465.62684970885</v>
      </c>
      <c r="P284" s="144">
        <f t="shared" si="14"/>
        <v>303864.02796007646</v>
      </c>
    </row>
    <row r="285" spans="3:16" x14ac:dyDescent="0.2">
      <c r="C285" s="145"/>
      <c r="D285" s="164" t="s">
        <v>371</v>
      </c>
      <c r="E285" s="137">
        <v>36342</v>
      </c>
      <c r="F285" s="172" t="str">
        <f t="shared" si="12"/>
        <v>1999-00</v>
      </c>
      <c r="H285" s="173" t="s">
        <v>190</v>
      </c>
      <c r="I285" s="174">
        <v>25184.239534746859</v>
      </c>
      <c r="J285" s="168">
        <f>IF(E285&lt;DATE(2016,1,1),IF(OR(M285="metres",M285="pipe"),INDEX('Scheme cost allocation'!$D$21:$D$42,MATCH(IF(MONTH(E285)&lt;7,YEAR(E285),YEAR(E285)+1),'Scheme cost allocation'!$C$21:$C$42,0))*'Scheme cost allocation'!$J$21,'Scheme cost allocation'!$J$21),'Scheme cost allocation'!$J$21)</f>
        <v>0.90850599752846017</v>
      </c>
      <c r="K285" s="47"/>
      <c r="L285" s="169">
        <v>1</v>
      </c>
      <c r="M285" s="175" t="s">
        <v>242</v>
      </c>
      <c r="N285" s="169">
        <v>506922.12617739436</v>
      </c>
      <c r="O285" s="143">
        <f t="shared" si="13"/>
        <v>506922.12617739436</v>
      </c>
      <c r="P285" s="144">
        <f t="shared" si="14"/>
        <v>460541.7919120416</v>
      </c>
    </row>
    <row r="286" spans="3:16" x14ac:dyDescent="0.2">
      <c r="C286" s="145"/>
      <c r="D286" s="164" t="s">
        <v>372</v>
      </c>
      <c r="E286" s="137">
        <v>36342</v>
      </c>
      <c r="F286" s="172" t="str">
        <f t="shared" si="12"/>
        <v>1999-00</v>
      </c>
      <c r="H286" s="173" t="s">
        <v>190</v>
      </c>
      <c r="I286" s="174">
        <v>25184.239534746859</v>
      </c>
      <c r="J286" s="168">
        <f>IF(E286&lt;DATE(2016,1,1),IF(OR(M286="metres",M286="pipe"),INDEX('Scheme cost allocation'!$D$21:$D$42,MATCH(IF(MONTH(E286)&lt;7,YEAR(E286),YEAR(E286)+1),'Scheme cost allocation'!$C$21:$C$42,0))*'Scheme cost allocation'!$J$21,'Scheme cost allocation'!$J$21),'Scheme cost allocation'!$J$21)</f>
        <v>0.90850599752846017</v>
      </c>
      <c r="K286" s="47"/>
      <c r="L286" s="169">
        <v>1</v>
      </c>
      <c r="M286" s="175" t="s">
        <v>242</v>
      </c>
      <c r="N286" s="169">
        <v>513380.35919116449</v>
      </c>
      <c r="O286" s="143">
        <f t="shared" si="13"/>
        <v>513380.35919116449</v>
      </c>
      <c r="P286" s="144">
        <f t="shared" si="14"/>
        <v>466409.13533848809</v>
      </c>
    </row>
    <row r="287" spans="3:16" x14ac:dyDescent="0.2">
      <c r="C287" s="145"/>
      <c r="D287" s="164" t="s">
        <v>373</v>
      </c>
      <c r="E287" s="137">
        <v>36342</v>
      </c>
      <c r="F287" s="172" t="str">
        <f t="shared" si="12"/>
        <v>1999-00</v>
      </c>
      <c r="H287" s="173" t="s">
        <v>190</v>
      </c>
      <c r="I287" s="174">
        <v>25184.239534746859</v>
      </c>
      <c r="J287" s="168">
        <f>IF(E287&lt;DATE(2016,1,1),IF(OR(M287="metres",M287="pipe"),INDEX('Scheme cost allocation'!$D$21:$D$42,MATCH(IF(MONTH(E287)&lt;7,YEAR(E287),YEAR(E287)+1),'Scheme cost allocation'!$C$21:$C$42,0))*'Scheme cost allocation'!$J$21,'Scheme cost allocation'!$J$21),'Scheme cost allocation'!$J$21)</f>
        <v>0.90850599752846017</v>
      </c>
      <c r="K287" s="47"/>
      <c r="L287" s="169">
        <v>1</v>
      </c>
      <c r="M287" s="175" t="s">
        <v>242</v>
      </c>
      <c r="N287" s="169">
        <v>566112.10458256176</v>
      </c>
      <c r="O287" s="143">
        <f t="shared" si="13"/>
        <v>566112.10458256176</v>
      </c>
      <c r="P287" s="144">
        <f t="shared" si="14"/>
        <v>514316.24228671624</v>
      </c>
    </row>
    <row r="288" spans="3:16" x14ac:dyDescent="0.2">
      <c r="C288" s="145"/>
      <c r="D288" s="164" t="s">
        <v>374</v>
      </c>
      <c r="E288" s="137">
        <v>36342</v>
      </c>
      <c r="F288" s="172" t="str">
        <f t="shared" si="12"/>
        <v>1999-00</v>
      </c>
      <c r="H288" s="173" t="s">
        <v>190</v>
      </c>
      <c r="I288" s="174">
        <v>25184.239534746859</v>
      </c>
      <c r="J288" s="168">
        <f>IF(E288&lt;DATE(2016,1,1),IF(OR(M288="metres",M288="pipe"),INDEX('Scheme cost allocation'!$D$21:$D$42,MATCH(IF(MONTH(E288)&lt;7,YEAR(E288),YEAR(E288)+1),'Scheme cost allocation'!$C$21:$C$42,0))*'Scheme cost allocation'!$J$21,'Scheme cost allocation'!$J$21),'Scheme cost allocation'!$J$21)</f>
        <v>0.90850599752846017</v>
      </c>
      <c r="K288" s="47"/>
      <c r="L288" s="169">
        <v>1</v>
      </c>
      <c r="M288" s="175" t="s">
        <v>242</v>
      </c>
      <c r="N288" s="169">
        <v>574534.14671708876</v>
      </c>
      <c r="O288" s="143">
        <f t="shared" si="13"/>
        <v>574534.14671708876</v>
      </c>
      <c r="P288" s="144">
        <f t="shared" si="14"/>
        <v>521967.71807737142</v>
      </c>
    </row>
    <row r="289" spans="3:16" x14ac:dyDescent="0.2">
      <c r="C289" s="145"/>
      <c r="D289" s="164" t="s">
        <v>375</v>
      </c>
      <c r="E289" s="137">
        <v>36342</v>
      </c>
      <c r="F289" s="172" t="str">
        <f t="shared" si="12"/>
        <v>1999-00</v>
      </c>
      <c r="H289" s="173" t="s">
        <v>190</v>
      </c>
      <c r="I289" s="174">
        <v>25184.239534746859</v>
      </c>
      <c r="J289" s="168">
        <f>IF(E289&lt;DATE(2016,1,1),IF(OR(M289="metres",M289="pipe"),INDEX('Scheme cost allocation'!$D$21:$D$42,MATCH(IF(MONTH(E289)&lt;7,YEAR(E289),YEAR(E289)+1),'Scheme cost allocation'!$C$21:$C$42,0))*'Scheme cost allocation'!$J$21,'Scheme cost allocation'!$J$21),'Scheme cost allocation'!$J$21)</f>
        <v>0.90850599752846017</v>
      </c>
      <c r="K289" s="47"/>
      <c r="L289" s="169">
        <v>1</v>
      </c>
      <c r="M289" s="175" t="s">
        <v>242</v>
      </c>
      <c r="N289" s="169">
        <v>590945.35427563312</v>
      </c>
      <c r="O289" s="143">
        <f t="shared" si="13"/>
        <v>590945.35427563312</v>
      </c>
      <c r="P289" s="144">
        <f t="shared" si="14"/>
        <v>536877.39857099333</v>
      </c>
    </row>
    <row r="290" spans="3:16" x14ac:dyDescent="0.2">
      <c r="C290" s="145"/>
      <c r="D290" s="164" t="s">
        <v>376</v>
      </c>
      <c r="E290" s="137">
        <v>36342</v>
      </c>
      <c r="F290" s="172" t="str">
        <f t="shared" si="12"/>
        <v>1999-00</v>
      </c>
      <c r="H290" s="173" t="s">
        <v>190</v>
      </c>
      <c r="I290" s="174">
        <v>25184.239534746859</v>
      </c>
      <c r="J290" s="168">
        <f>IF(E290&lt;DATE(2016,1,1),IF(OR(M290="metres",M290="pipe"),INDEX('Scheme cost allocation'!$D$21:$D$42,MATCH(IF(MONTH(E290)&lt;7,YEAR(E290),YEAR(E290)+1),'Scheme cost allocation'!$C$21:$C$42,0))*'Scheme cost allocation'!$J$21,'Scheme cost allocation'!$J$21),'Scheme cost allocation'!$J$21)</f>
        <v>0.90850599752846017</v>
      </c>
      <c r="K290" s="47"/>
      <c r="L290" s="169">
        <v>1</v>
      </c>
      <c r="M290" s="175" t="s">
        <v>242</v>
      </c>
      <c r="N290" s="169">
        <v>601094.99043461413</v>
      </c>
      <c r="O290" s="143">
        <f t="shared" si="13"/>
        <v>601094.99043461413</v>
      </c>
      <c r="P290" s="144">
        <f t="shared" si="14"/>
        <v>546098.40389415936</v>
      </c>
    </row>
    <row r="291" spans="3:16" x14ac:dyDescent="0.2">
      <c r="C291" s="145"/>
      <c r="D291" s="164" t="s">
        <v>377</v>
      </c>
      <c r="E291" s="137">
        <v>36342</v>
      </c>
      <c r="F291" s="172" t="str">
        <f t="shared" si="12"/>
        <v>1999-00</v>
      </c>
      <c r="H291" s="173" t="s">
        <v>190</v>
      </c>
      <c r="I291" s="174">
        <v>25184.239534746859</v>
      </c>
      <c r="J291" s="168">
        <f>IF(E291&lt;DATE(2016,1,1),IF(OR(M291="metres",M291="pipe"),INDEX('Scheme cost allocation'!$D$21:$D$42,MATCH(IF(MONTH(E291)&lt;7,YEAR(E291),YEAR(E291)+1),'Scheme cost allocation'!$C$21:$C$42,0))*'Scheme cost allocation'!$J$21,'Scheme cost allocation'!$J$21),'Scheme cost allocation'!$J$21)</f>
        <v>0.90850599752846017</v>
      </c>
      <c r="K291" s="47"/>
      <c r="L291" s="169">
        <v>1</v>
      </c>
      <c r="M291" s="175" t="s">
        <v>242</v>
      </c>
      <c r="N291" s="169">
        <v>831116.18156363897</v>
      </c>
      <c r="O291" s="143">
        <f t="shared" si="13"/>
        <v>831116.18156363897</v>
      </c>
      <c r="P291" s="144">
        <f t="shared" si="14"/>
        <v>755074.03559351864</v>
      </c>
    </row>
    <row r="292" spans="3:16" x14ac:dyDescent="0.2">
      <c r="C292" s="145"/>
      <c r="D292" s="164" t="s">
        <v>378</v>
      </c>
      <c r="E292" s="137">
        <v>36342</v>
      </c>
      <c r="F292" s="172" t="str">
        <f t="shared" si="12"/>
        <v>1999-00</v>
      </c>
      <c r="H292" s="173" t="s">
        <v>190</v>
      </c>
      <c r="I292" s="174">
        <v>25184.239534746859</v>
      </c>
      <c r="J292" s="168">
        <f>IF(E292&lt;DATE(2016,1,1),IF(OR(M292="metres",M292="pipe"),INDEX('Scheme cost allocation'!$D$21:$D$42,MATCH(IF(MONTH(E292)&lt;7,YEAR(E292),YEAR(E292)+1),'Scheme cost allocation'!$C$21:$C$42,0))*'Scheme cost allocation'!$J$21,'Scheme cost allocation'!$J$21),'Scheme cost allocation'!$J$21)</f>
        <v>0.90850599752846017</v>
      </c>
      <c r="K292" s="47"/>
      <c r="L292" s="169">
        <v>1</v>
      </c>
      <c r="M292" s="175" t="s">
        <v>242</v>
      </c>
      <c r="N292" s="169">
        <v>1063571.1452297233</v>
      </c>
      <c r="O292" s="143">
        <f t="shared" si="13"/>
        <v>1063571.1452297233</v>
      </c>
      <c r="P292" s="144">
        <f t="shared" si="14"/>
        <v>966260.76423941657</v>
      </c>
    </row>
    <row r="293" spans="3:16" x14ac:dyDescent="0.2">
      <c r="C293" s="145"/>
      <c r="D293" s="164" t="s">
        <v>379</v>
      </c>
      <c r="E293" s="137">
        <v>36342</v>
      </c>
      <c r="F293" s="172" t="str">
        <f t="shared" si="12"/>
        <v>1999-00</v>
      </c>
      <c r="H293" s="173" t="s">
        <v>190</v>
      </c>
      <c r="I293" s="174">
        <v>25184.239534746859</v>
      </c>
      <c r="J293" s="168">
        <f>IF(E293&lt;DATE(2016,1,1),IF(OR(M293="metres",M293="pipe"),INDEX('Scheme cost allocation'!$D$21:$D$42,MATCH(IF(MONTH(E293)&lt;7,YEAR(E293),YEAR(E293)+1),'Scheme cost allocation'!$C$21:$C$42,0))*'Scheme cost allocation'!$J$21,'Scheme cost allocation'!$J$21),'Scheme cost allocation'!$J$21)</f>
        <v>0.90850599752846017</v>
      </c>
      <c r="K293" s="47"/>
      <c r="L293" s="169">
        <v>1</v>
      </c>
      <c r="M293" s="175" t="s">
        <v>242</v>
      </c>
      <c r="N293" s="169">
        <v>1222443.3413765209</v>
      </c>
      <c r="O293" s="143">
        <f t="shared" si="13"/>
        <v>1222443.3413765209</v>
      </c>
      <c r="P293" s="144">
        <f t="shared" si="14"/>
        <v>1110597.1072793002</v>
      </c>
    </row>
    <row r="294" spans="3:16" x14ac:dyDescent="0.2">
      <c r="C294" s="145"/>
      <c r="D294" s="164" t="s">
        <v>380</v>
      </c>
      <c r="E294" s="137">
        <v>36342</v>
      </c>
      <c r="F294" s="172" t="str">
        <f t="shared" si="12"/>
        <v>1999-00</v>
      </c>
      <c r="H294" s="173" t="s">
        <v>190</v>
      </c>
      <c r="I294" s="174">
        <v>25184.239534746859</v>
      </c>
      <c r="J294" s="168">
        <f>IF(E294&lt;DATE(2016,1,1),IF(OR(M294="metres",M294="pipe"),INDEX('Scheme cost allocation'!$D$21:$D$42,MATCH(IF(MONTH(E294)&lt;7,YEAR(E294),YEAR(E294)+1),'Scheme cost allocation'!$C$21:$C$42,0))*'Scheme cost allocation'!$J$21,'Scheme cost allocation'!$J$21),'Scheme cost allocation'!$J$21)</f>
        <v>0.90850599752846017</v>
      </c>
      <c r="K294" s="47"/>
      <c r="L294" s="169">
        <v>1</v>
      </c>
      <c r="M294" s="175" t="s">
        <v>242</v>
      </c>
      <c r="N294" s="169">
        <v>1302529.7433527363</v>
      </c>
      <c r="O294" s="143">
        <f t="shared" si="13"/>
        <v>1302529.7433527363</v>
      </c>
      <c r="P294" s="144">
        <f t="shared" si="14"/>
        <v>1183356.083795167</v>
      </c>
    </row>
    <row r="295" spans="3:16" x14ac:dyDescent="0.2">
      <c r="C295" s="145"/>
      <c r="D295" s="164" t="s">
        <v>381</v>
      </c>
      <c r="E295" s="137">
        <v>36342</v>
      </c>
      <c r="F295" s="172" t="str">
        <f t="shared" si="12"/>
        <v>1999-00</v>
      </c>
      <c r="H295" s="173" t="s">
        <v>190</v>
      </c>
      <c r="I295" s="174">
        <v>25184.239534746859</v>
      </c>
      <c r="J295" s="168">
        <f>IF(E295&lt;DATE(2016,1,1),IF(OR(M295="metres",M295="pipe"),INDEX('Scheme cost allocation'!$D$21:$D$42,MATCH(IF(MONTH(E295)&lt;7,YEAR(E295),YEAR(E295)+1),'Scheme cost allocation'!$C$21:$C$42,0))*'Scheme cost allocation'!$J$21,'Scheme cost allocation'!$J$21),'Scheme cost allocation'!$J$21)</f>
        <v>0.90850599752846017</v>
      </c>
      <c r="K295" s="47"/>
      <c r="L295" s="169">
        <v>1</v>
      </c>
      <c r="M295" s="175" t="s">
        <v>242</v>
      </c>
      <c r="N295" s="169">
        <v>1311670.0852282532</v>
      </c>
      <c r="O295" s="143">
        <f t="shared" si="13"/>
        <v>1311670.0852282532</v>
      </c>
      <c r="P295" s="144">
        <f t="shared" si="14"/>
        <v>1191660.1392085345</v>
      </c>
    </row>
    <row r="296" spans="3:16" x14ac:dyDescent="0.2">
      <c r="C296" s="145"/>
      <c r="D296" s="164" t="s">
        <v>382</v>
      </c>
      <c r="E296" s="137">
        <v>36342</v>
      </c>
      <c r="F296" s="172" t="str">
        <f t="shared" si="12"/>
        <v>1999-00</v>
      </c>
      <c r="H296" s="173" t="s">
        <v>190</v>
      </c>
      <c r="I296" s="174">
        <v>25184.239534746859</v>
      </c>
      <c r="J296" s="168">
        <f>IF(E296&lt;DATE(2016,1,1),IF(OR(M296="metres",M296="pipe"),INDEX('Scheme cost allocation'!$D$21:$D$42,MATCH(IF(MONTH(E296)&lt;7,YEAR(E296),YEAR(E296)+1),'Scheme cost allocation'!$C$21:$C$42,0))*'Scheme cost allocation'!$J$21,'Scheme cost allocation'!$J$21),'Scheme cost allocation'!$J$21)</f>
        <v>0.90850599752846017</v>
      </c>
      <c r="K296" s="47"/>
      <c r="L296" s="169">
        <v>1</v>
      </c>
      <c r="M296" s="175" t="s">
        <v>242</v>
      </c>
      <c r="N296" s="169">
        <v>2780551.0778246429</v>
      </c>
      <c r="O296" s="143">
        <f t="shared" si="13"/>
        <v>2780551.0778246429</v>
      </c>
      <c r="P296" s="144">
        <f t="shared" si="14"/>
        <v>2526147.3306379123</v>
      </c>
    </row>
    <row r="297" spans="3:16" x14ac:dyDescent="0.2">
      <c r="C297" s="145"/>
      <c r="D297" s="164" t="s">
        <v>383</v>
      </c>
      <c r="E297" s="137">
        <v>36342</v>
      </c>
      <c r="F297" s="172" t="str">
        <f t="shared" ref="F297:F360" si="15">IF(E297="","-",IF(OR(E297&lt;$E$15,E297&gt;$E$16),"ERROR - date outside of range",IF(MONTH(E297)&gt;=7,YEAR(E297)&amp;"-"&amp;IF(YEAR(E297)=1999,"00",IF(AND(YEAR(E297)&gt;=2000,YEAR(E297)&lt;2009),"0","")&amp;RIGHT(YEAR(E297),2)+1),RIGHT(YEAR(E297),4)-1&amp;"-"&amp;RIGHT(YEAR(E297),2))))</f>
        <v>1999-00</v>
      </c>
      <c r="H297" s="173" t="s">
        <v>190</v>
      </c>
      <c r="I297" s="174">
        <v>25184.239534746859</v>
      </c>
      <c r="J297" s="168">
        <f>IF(E297&lt;DATE(2016,1,1),IF(OR(M297="metres",M297="pipe"),INDEX('Scheme cost allocation'!$D$21:$D$42,MATCH(IF(MONTH(E297)&lt;7,YEAR(E297),YEAR(E297)+1),'Scheme cost allocation'!$C$21:$C$42,0))*'Scheme cost allocation'!$J$21,'Scheme cost allocation'!$J$21),'Scheme cost allocation'!$J$21)</f>
        <v>0.90850599752846017</v>
      </c>
      <c r="K297" s="47"/>
      <c r="L297" s="169">
        <v>1</v>
      </c>
      <c r="M297" s="175" t="s">
        <v>242</v>
      </c>
      <c r="N297" s="169">
        <v>3808368.5546689513</v>
      </c>
      <c r="O297" s="143">
        <f t="shared" si="13"/>
        <v>3808368.5546689513</v>
      </c>
      <c r="P297" s="144">
        <f t="shared" si="14"/>
        <v>3459925.6727155359</v>
      </c>
    </row>
    <row r="298" spans="3:16" x14ac:dyDescent="0.2">
      <c r="C298" s="145"/>
      <c r="D298" s="164" t="s">
        <v>384</v>
      </c>
      <c r="E298" s="137">
        <v>36441</v>
      </c>
      <c r="F298" s="172" t="str">
        <f t="shared" si="15"/>
        <v>1999-00</v>
      </c>
      <c r="H298" s="173" t="s">
        <v>190</v>
      </c>
      <c r="I298" s="174">
        <v>25184.239534746859</v>
      </c>
      <c r="J298" s="168">
        <f>IF(E298&lt;DATE(2016,1,1),IF(OR(M298="metres",M298="pipe"),INDEX('Scheme cost allocation'!$D$21:$D$42,MATCH(IF(MONTH(E298)&lt;7,YEAR(E298),YEAR(E298)+1),'Scheme cost allocation'!$C$21:$C$42,0))*'Scheme cost allocation'!$J$21,'Scheme cost allocation'!$J$21),'Scheme cost allocation'!$J$21)</f>
        <v>0.90850599752846017</v>
      </c>
      <c r="K298" s="47"/>
      <c r="L298" s="169">
        <v>1</v>
      </c>
      <c r="M298" s="175" t="s">
        <v>242</v>
      </c>
      <c r="N298" s="169">
        <v>17471.397244934877</v>
      </c>
      <c r="O298" s="143">
        <f t="shared" si="13"/>
        <v>17471.397244934877</v>
      </c>
      <c r="P298" s="144">
        <f t="shared" si="14"/>
        <v>15872.869182225551</v>
      </c>
    </row>
    <row r="299" spans="3:16" x14ac:dyDescent="0.2">
      <c r="C299" s="145"/>
      <c r="D299" s="164" t="s">
        <v>385</v>
      </c>
      <c r="E299" s="137">
        <v>36441</v>
      </c>
      <c r="F299" s="172" t="str">
        <f t="shared" si="15"/>
        <v>1999-00</v>
      </c>
      <c r="H299" s="173" t="s">
        <v>190</v>
      </c>
      <c r="I299" s="174">
        <v>25184.239534746859</v>
      </c>
      <c r="J299" s="168">
        <f>IF(E299&lt;DATE(2016,1,1),IF(OR(M299="metres",M299="pipe"),INDEX('Scheme cost allocation'!$D$21:$D$42,MATCH(IF(MONTH(E299)&lt;7,YEAR(E299),YEAR(E299)+1),'Scheme cost allocation'!$C$21:$C$42,0))*'Scheme cost allocation'!$J$21,'Scheme cost allocation'!$J$21),'Scheme cost allocation'!$J$21)</f>
        <v>0.90850599752846017</v>
      </c>
      <c r="K299" s="47"/>
      <c r="L299" s="169">
        <v>1</v>
      </c>
      <c r="M299" s="175" t="s">
        <v>242</v>
      </c>
      <c r="N299" s="169">
        <v>112352.89749710566</v>
      </c>
      <c r="O299" s="143">
        <f t="shared" si="13"/>
        <v>112352.89749710566</v>
      </c>
      <c r="P299" s="144">
        <f t="shared" si="14"/>
        <v>102073.28121582081</v>
      </c>
    </row>
    <row r="300" spans="3:16" x14ac:dyDescent="0.2">
      <c r="C300" s="145"/>
      <c r="D300" s="164" t="s">
        <v>386</v>
      </c>
      <c r="E300" s="137">
        <v>36591</v>
      </c>
      <c r="F300" s="172" t="str">
        <f t="shared" si="15"/>
        <v>1999-00</v>
      </c>
      <c r="H300" s="173" t="s">
        <v>190</v>
      </c>
      <c r="I300" s="174">
        <v>25184.239534746859</v>
      </c>
      <c r="J300" s="168">
        <f>IF(E300&lt;DATE(2016,1,1),IF(OR(M300="metres",M300="pipe"),INDEX('Scheme cost allocation'!$D$21:$D$42,MATCH(IF(MONTH(E300)&lt;7,YEAR(E300),YEAR(E300)+1),'Scheme cost allocation'!$C$21:$C$42,0))*'Scheme cost allocation'!$J$21,'Scheme cost allocation'!$J$21),'Scheme cost allocation'!$J$21)</f>
        <v>0.90850599752846017</v>
      </c>
      <c r="K300" s="47"/>
      <c r="L300" s="169">
        <v>1</v>
      </c>
      <c r="M300" s="175" t="s">
        <v>242</v>
      </c>
      <c r="N300" s="169">
        <v>816105.26252281212</v>
      </c>
      <c r="O300" s="143">
        <f t="shared" si="13"/>
        <v>816105.26252281212</v>
      </c>
      <c r="P300" s="144">
        <f t="shared" si="14"/>
        <v>741436.52561651333</v>
      </c>
    </row>
    <row r="301" spans="3:16" x14ac:dyDescent="0.2">
      <c r="C301" s="145"/>
      <c r="D301" s="164" t="s">
        <v>387</v>
      </c>
      <c r="E301" s="137">
        <v>36679</v>
      </c>
      <c r="F301" s="172" t="str">
        <f t="shared" si="15"/>
        <v>1999-00</v>
      </c>
      <c r="H301" s="173" t="s">
        <v>190</v>
      </c>
      <c r="I301" s="174">
        <v>25184.239534746859</v>
      </c>
      <c r="J301" s="168">
        <f>IF(E301&lt;DATE(2016,1,1),IF(OR(M301="metres",M301="pipe"),INDEX('Scheme cost allocation'!$D$21:$D$42,MATCH(IF(MONTH(E301)&lt;7,YEAR(E301),YEAR(E301)+1),'Scheme cost allocation'!$C$21:$C$42,0))*'Scheme cost allocation'!$J$21,'Scheme cost allocation'!$J$21),'Scheme cost allocation'!$J$21)</f>
        <v>0.90850599752846017</v>
      </c>
      <c r="K301" s="47"/>
      <c r="L301" s="169">
        <v>1</v>
      </c>
      <c r="M301" s="175" t="s">
        <v>242</v>
      </c>
      <c r="N301" s="169">
        <v>1837320.0449816661</v>
      </c>
      <c r="O301" s="143">
        <f t="shared" si="13"/>
        <v>1837320.0449816661</v>
      </c>
      <c r="P301" s="144">
        <f t="shared" si="14"/>
        <v>1669216.2802451039</v>
      </c>
    </row>
    <row r="302" spans="3:16" x14ac:dyDescent="0.2">
      <c r="C302" s="145"/>
      <c r="D302" s="164" t="s">
        <v>388</v>
      </c>
      <c r="E302" s="137">
        <v>36682</v>
      </c>
      <c r="F302" s="172" t="str">
        <f t="shared" si="15"/>
        <v>1999-00</v>
      </c>
      <c r="H302" s="173" t="s">
        <v>190</v>
      </c>
      <c r="I302" s="174">
        <v>25184.239534746859</v>
      </c>
      <c r="J302" s="168">
        <f>IF(E302&lt;DATE(2016,1,1),IF(OR(M302="metres",M302="pipe"),INDEX('Scheme cost allocation'!$D$21:$D$42,MATCH(IF(MONTH(E302)&lt;7,YEAR(E302),YEAR(E302)+1),'Scheme cost allocation'!$C$21:$C$42,0))*'Scheme cost allocation'!$J$21,'Scheme cost allocation'!$J$21),'Scheme cost allocation'!$J$21)</f>
        <v>0.90850599752846017</v>
      </c>
      <c r="K302" s="47"/>
      <c r="L302" s="169">
        <v>1</v>
      </c>
      <c r="M302" s="175" t="s">
        <v>242</v>
      </c>
      <c r="N302" s="169">
        <v>9735742.5808538869</v>
      </c>
      <c r="O302" s="143">
        <f t="shared" si="13"/>
        <v>9735742.5808538869</v>
      </c>
      <c r="P302" s="144">
        <f t="shared" si="14"/>
        <v>8844980.5250989664</v>
      </c>
    </row>
    <row r="303" spans="3:16" x14ac:dyDescent="0.2">
      <c r="C303" s="145"/>
      <c r="D303" s="164" t="s">
        <v>389</v>
      </c>
      <c r="E303" s="137">
        <v>36731</v>
      </c>
      <c r="F303" s="172" t="str">
        <f t="shared" si="15"/>
        <v>2000-01</v>
      </c>
      <c r="H303" s="173" t="s">
        <v>190</v>
      </c>
      <c r="I303" s="174">
        <v>25184.239534746859</v>
      </c>
      <c r="J303" s="168">
        <f>IF(E303&lt;DATE(2016,1,1),IF(OR(M303="metres",M303="pipe"),INDEX('Scheme cost allocation'!$D$21:$D$42,MATCH(IF(MONTH(E303)&lt;7,YEAR(E303),YEAR(E303)+1),'Scheme cost allocation'!$C$21:$C$42,0))*'Scheme cost allocation'!$J$21,'Scheme cost allocation'!$J$21),'Scheme cost allocation'!$J$21)</f>
        <v>0.90850599752846017</v>
      </c>
      <c r="K303" s="47"/>
      <c r="L303" s="169">
        <v>1</v>
      </c>
      <c r="M303" s="175" t="s">
        <v>242</v>
      </c>
      <c r="N303" s="169">
        <v>4858750.9765196983</v>
      </c>
      <c r="O303" s="143">
        <f t="shared" si="13"/>
        <v>4858750.9765196983</v>
      </c>
      <c r="P303" s="144">
        <f t="shared" si="14"/>
        <v>4414204.4026654083</v>
      </c>
    </row>
    <row r="304" spans="3:16" x14ac:dyDescent="0.2">
      <c r="C304" s="145"/>
      <c r="D304" s="164" t="s">
        <v>390</v>
      </c>
      <c r="E304" s="137">
        <v>36811</v>
      </c>
      <c r="F304" s="172" t="str">
        <f t="shared" si="15"/>
        <v>2000-01</v>
      </c>
      <c r="H304" s="173" t="s">
        <v>190</v>
      </c>
      <c r="I304" s="174">
        <v>25184.239534746859</v>
      </c>
      <c r="J304" s="168">
        <f>IF(E304&lt;DATE(2016,1,1),IF(OR(M304="metres",M304="pipe"),INDEX('Scheme cost allocation'!$D$21:$D$42,MATCH(IF(MONTH(E304)&lt;7,YEAR(E304),YEAR(E304)+1),'Scheme cost allocation'!$C$21:$C$42,0))*'Scheme cost allocation'!$J$21,'Scheme cost allocation'!$J$21),'Scheme cost allocation'!$J$21)</f>
        <v>0.90850599752846017</v>
      </c>
      <c r="K304" s="47"/>
      <c r="L304" s="169">
        <v>1</v>
      </c>
      <c r="M304" s="175" t="s">
        <v>242</v>
      </c>
      <c r="N304" s="169">
        <v>923681.9078089192</v>
      </c>
      <c r="O304" s="143">
        <f t="shared" si="13"/>
        <v>923681.9078089192</v>
      </c>
      <c r="P304" s="144">
        <f t="shared" si="14"/>
        <v>839170.5530529333</v>
      </c>
    </row>
    <row r="305" spans="3:16" x14ac:dyDescent="0.2">
      <c r="C305" s="145"/>
      <c r="D305" s="164" t="s">
        <v>391</v>
      </c>
      <c r="E305" s="137">
        <v>36859</v>
      </c>
      <c r="F305" s="172" t="str">
        <f t="shared" si="15"/>
        <v>2000-01</v>
      </c>
      <c r="H305" s="173" t="s">
        <v>190</v>
      </c>
      <c r="I305" s="174">
        <v>25184.239534746859</v>
      </c>
      <c r="J305" s="168">
        <f>IF(E305&lt;DATE(2016,1,1),IF(OR(M305="metres",M305="pipe"),INDEX('Scheme cost allocation'!$D$21:$D$42,MATCH(IF(MONTH(E305)&lt;7,YEAR(E305),YEAR(E305)+1),'Scheme cost allocation'!$C$21:$C$42,0))*'Scheme cost allocation'!$J$21,'Scheme cost allocation'!$J$21),'Scheme cost allocation'!$J$21)</f>
        <v>0.90850599752846017</v>
      </c>
      <c r="K305" s="47"/>
      <c r="L305" s="169">
        <v>1</v>
      </c>
      <c r="M305" s="175" t="s">
        <v>242</v>
      </c>
      <c r="N305" s="169">
        <v>133117.6297372093</v>
      </c>
      <c r="O305" s="143">
        <f t="shared" si="13"/>
        <v>133117.6297372093</v>
      </c>
      <c r="P305" s="144">
        <f t="shared" si="14"/>
        <v>120938.16499302755</v>
      </c>
    </row>
    <row r="306" spans="3:16" x14ac:dyDescent="0.2">
      <c r="C306" s="145"/>
      <c r="D306" s="164" t="s">
        <v>392</v>
      </c>
      <c r="E306" s="137">
        <v>36881</v>
      </c>
      <c r="F306" s="172" t="str">
        <f t="shared" si="15"/>
        <v>2000-01</v>
      </c>
      <c r="H306" s="173" t="s">
        <v>190</v>
      </c>
      <c r="I306" s="174">
        <v>25184.239534746859</v>
      </c>
      <c r="J306" s="168">
        <f>IF(E306&lt;DATE(2016,1,1),IF(OR(M306="metres",M306="pipe"),INDEX('Scheme cost allocation'!$D$21:$D$42,MATCH(IF(MONTH(E306)&lt;7,YEAR(E306),YEAR(E306)+1),'Scheme cost allocation'!$C$21:$C$42,0))*'Scheme cost allocation'!$J$21,'Scheme cost allocation'!$J$21),'Scheme cost allocation'!$J$21)</f>
        <v>0.90850599752846017</v>
      </c>
      <c r="K306" s="47"/>
      <c r="L306" s="169">
        <v>1</v>
      </c>
      <c r="M306" s="175" t="s">
        <v>242</v>
      </c>
      <c r="N306" s="169">
        <v>235589.82747689463</v>
      </c>
      <c r="O306" s="143">
        <f t="shared" si="13"/>
        <v>235589.82747689463</v>
      </c>
      <c r="P306" s="144">
        <f t="shared" si="14"/>
        <v>214034.77121945398</v>
      </c>
    </row>
    <row r="307" spans="3:16" x14ac:dyDescent="0.2">
      <c r="C307" s="145"/>
      <c r="D307" s="164" t="s">
        <v>393</v>
      </c>
      <c r="E307" s="137">
        <v>36979</v>
      </c>
      <c r="F307" s="172" t="str">
        <f t="shared" si="15"/>
        <v>2000-01</v>
      </c>
      <c r="H307" s="173" t="s">
        <v>190</v>
      </c>
      <c r="I307" s="174">
        <v>25184.239534746859</v>
      </c>
      <c r="J307" s="168">
        <f>IF(E307&lt;DATE(2016,1,1),IF(OR(M307="metres",M307="pipe"),INDEX('Scheme cost allocation'!$D$21:$D$42,MATCH(IF(MONTH(E307)&lt;7,YEAR(E307),YEAR(E307)+1),'Scheme cost allocation'!$C$21:$C$42,0))*'Scheme cost allocation'!$J$21,'Scheme cost allocation'!$J$21),'Scheme cost allocation'!$J$21)</f>
        <v>0.90850599752846017</v>
      </c>
      <c r="K307" s="47"/>
      <c r="L307" s="169">
        <v>1</v>
      </c>
      <c r="M307" s="175" t="s">
        <v>242</v>
      </c>
      <c r="N307" s="169">
        <v>669089.91719205689</v>
      </c>
      <c r="O307" s="143">
        <f t="shared" si="13"/>
        <v>669089.91719205689</v>
      </c>
      <c r="P307" s="144">
        <f t="shared" si="14"/>
        <v>607872.20265480445</v>
      </c>
    </row>
    <row r="308" spans="3:16" x14ac:dyDescent="0.2">
      <c r="C308" s="145"/>
      <c r="D308" s="164" t="s">
        <v>394</v>
      </c>
      <c r="E308" s="137">
        <v>36979</v>
      </c>
      <c r="F308" s="172" t="str">
        <f t="shared" si="15"/>
        <v>2000-01</v>
      </c>
      <c r="H308" s="173" t="s">
        <v>190</v>
      </c>
      <c r="I308" s="174">
        <v>25184.239534746859</v>
      </c>
      <c r="J308" s="168">
        <f>IF(E308&lt;DATE(2016,1,1),IF(OR(M308="metres",M308="pipe"),INDEX('Scheme cost allocation'!$D$21:$D$42,MATCH(IF(MONTH(E308)&lt;7,YEAR(E308),YEAR(E308)+1),'Scheme cost allocation'!$C$21:$C$42,0))*'Scheme cost allocation'!$J$21,'Scheme cost allocation'!$J$21),'Scheme cost allocation'!$J$21)</f>
        <v>0.90850599752846017</v>
      </c>
      <c r="K308" s="47"/>
      <c r="L308" s="169">
        <v>1</v>
      </c>
      <c r="M308" s="175" t="s">
        <v>242</v>
      </c>
      <c r="N308" s="169">
        <v>1165137.696711407</v>
      </c>
      <c r="O308" s="143">
        <f t="shared" si="13"/>
        <v>1165137.696711407</v>
      </c>
      <c r="P308" s="144">
        <f t="shared" si="14"/>
        <v>1058534.5854088094</v>
      </c>
    </row>
    <row r="309" spans="3:16" x14ac:dyDescent="0.2">
      <c r="C309" s="145"/>
      <c r="D309" s="164" t="s">
        <v>395</v>
      </c>
      <c r="E309" s="137">
        <v>36979</v>
      </c>
      <c r="F309" s="172" t="str">
        <f t="shared" si="15"/>
        <v>2000-01</v>
      </c>
      <c r="H309" s="173" t="s">
        <v>190</v>
      </c>
      <c r="I309" s="174">
        <v>25184.239534746859</v>
      </c>
      <c r="J309" s="168">
        <f>IF(E309&lt;DATE(2016,1,1),IF(OR(M309="metres",M309="pipe"),INDEX('Scheme cost allocation'!$D$21:$D$42,MATCH(IF(MONTH(E309)&lt;7,YEAR(E309),YEAR(E309)+1),'Scheme cost allocation'!$C$21:$C$42,0))*'Scheme cost allocation'!$J$21,'Scheme cost allocation'!$J$21),'Scheme cost allocation'!$J$21)</f>
        <v>0.90850599752846017</v>
      </c>
      <c r="K309" s="47"/>
      <c r="L309" s="169">
        <v>1</v>
      </c>
      <c r="M309" s="175" t="s">
        <v>242</v>
      </c>
      <c r="N309" s="169">
        <v>4293991.5504038157</v>
      </c>
      <c r="O309" s="143">
        <f t="shared" si="13"/>
        <v>4293991.5504038157</v>
      </c>
      <c r="P309" s="144">
        <f t="shared" si="14"/>
        <v>3901117.0768783977</v>
      </c>
    </row>
    <row r="310" spans="3:16" x14ac:dyDescent="0.2">
      <c r="C310" s="145"/>
      <c r="D310" s="164" t="s">
        <v>396</v>
      </c>
      <c r="E310" s="137">
        <v>37035</v>
      </c>
      <c r="F310" s="172" t="str">
        <f t="shared" si="15"/>
        <v>2000-01</v>
      </c>
      <c r="H310" s="173" t="s">
        <v>190</v>
      </c>
      <c r="I310" s="174">
        <v>25184.239534746859</v>
      </c>
      <c r="J310" s="168">
        <f>IF(E310&lt;DATE(2016,1,1),IF(OR(M310="metres",M310="pipe"),INDEX('Scheme cost allocation'!$D$21:$D$42,MATCH(IF(MONTH(E310)&lt;7,YEAR(E310),YEAR(E310)+1),'Scheme cost allocation'!$C$21:$C$42,0))*'Scheme cost allocation'!$J$21,'Scheme cost allocation'!$J$21),'Scheme cost allocation'!$J$21)</f>
        <v>0.90850599752846017</v>
      </c>
      <c r="K310" s="47"/>
      <c r="L310" s="169">
        <v>1</v>
      </c>
      <c r="M310" s="175" t="s">
        <v>242</v>
      </c>
      <c r="N310" s="169">
        <v>5332.3835499999996</v>
      </c>
      <c r="O310" s="143">
        <f t="shared" si="13"/>
        <v>5332.3835499999996</v>
      </c>
      <c r="P310" s="144">
        <f t="shared" si="14"/>
        <v>4844.5024362971017</v>
      </c>
    </row>
    <row r="311" spans="3:16" x14ac:dyDescent="0.2">
      <c r="C311" s="145"/>
      <c r="D311" s="164" t="s">
        <v>397</v>
      </c>
      <c r="E311" s="137">
        <v>37035</v>
      </c>
      <c r="F311" s="172" t="str">
        <f t="shared" si="15"/>
        <v>2000-01</v>
      </c>
      <c r="H311" s="173" t="s">
        <v>190</v>
      </c>
      <c r="I311" s="174">
        <v>25184.239534746859</v>
      </c>
      <c r="J311" s="168">
        <f>IF(E311&lt;DATE(2016,1,1),IF(OR(M311="metres",M311="pipe"),INDEX('Scheme cost allocation'!$D$21:$D$42,MATCH(IF(MONTH(E311)&lt;7,YEAR(E311),YEAR(E311)+1),'Scheme cost allocation'!$C$21:$C$42,0))*'Scheme cost allocation'!$J$21,'Scheme cost allocation'!$J$21),'Scheme cost allocation'!$J$21)</f>
        <v>0.90850599752846017</v>
      </c>
      <c r="K311" s="47"/>
      <c r="L311" s="169">
        <v>1</v>
      </c>
      <c r="M311" s="175" t="s">
        <v>242</v>
      </c>
      <c r="N311" s="169">
        <v>962039.05877046974</v>
      </c>
      <c r="O311" s="143">
        <f t="shared" si="13"/>
        <v>962039.05877046974</v>
      </c>
      <c r="P311" s="144">
        <f t="shared" si="14"/>
        <v>874018.25474960648</v>
      </c>
    </row>
    <row r="312" spans="3:16" x14ac:dyDescent="0.2">
      <c r="C312" s="145"/>
      <c r="D312" s="164" t="s">
        <v>398</v>
      </c>
      <c r="E312" s="137">
        <v>37069</v>
      </c>
      <c r="F312" s="172" t="str">
        <f t="shared" si="15"/>
        <v>2000-01</v>
      </c>
      <c r="H312" s="173" t="s">
        <v>190</v>
      </c>
      <c r="I312" s="174">
        <v>25184.239534746859</v>
      </c>
      <c r="J312" s="168">
        <f>IF(E312&lt;DATE(2016,1,1),IF(OR(M312="metres",M312="pipe"),INDEX('Scheme cost allocation'!$D$21:$D$42,MATCH(IF(MONTH(E312)&lt;7,YEAR(E312),YEAR(E312)+1),'Scheme cost allocation'!$C$21:$C$42,0))*'Scheme cost allocation'!$J$21,'Scheme cost allocation'!$J$21),'Scheme cost allocation'!$J$21)</f>
        <v>0.90850599752846017</v>
      </c>
      <c r="K312" s="47"/>
      <c r="L312" s="169">
        <v>1</v>
      </c>
      <c r="M312" s="175" t="s">
        <v>242</v>
      </c>
      <c r="N312" s="169">
        <v>4020.0004697986574</v>
      </c>
      <c r="O312" s="143">
        <f t="shared" si="13"/>
        <v>4020.0004697986574</v>
      </c>
      <c r="P312" s="144">
        <f t="shared" si="14"/>
        <v>3652.1945368793076</v>
      </c>
    </row>
    <row r="313" spans="3:16" x14ac:dyDescent="0.2">
      <c r="C313" s="145"/>
      <c r="D313" s="164" t="s">
        <v>399</v>
      </c>
      <c r="E313" s="137">
        <v>37069</v>
      </c>
      <c r="F313" s="172" t="str">
        <f t="shared" si="15"/>
        <v>2000-01</v>
      </c>
      <c r="H313" s="173" t="s">
        <v>190</v>
      </c>
      <c r="I313" s="174">
        <v>25184.239534746859</v>
      </c>
      <c r="J313" s="168">
        <f>IF(E313&lt;DATE(2016,1,1),IF(OR(M313="metres",M313="pipe"),INDEX('Scheme cost allocation'!$D$21:$D$42,MATCH(IF(MONTH(E313)&lt;7,YEAR(E313),YEAR(E313)+1),'Scheme cost allocation'!$C$21:$C$42,0))*'Scheme cost allocation'!$J$21,'Scheme cost allocation'!$J$21),'Scheme cost allocation'!$J$21)</f>
        <v>0.90850599752846017</v>
      </c>
      <c r="K313" s="47"/>
      <c r="L313" s="169">
        <v>1</v>
      </c>
      <c r="M313" s="175" t="s">
        <v>242</v>
      </c>
      <c r="N313" s="169">
        <v>4804.3908053691275</v>
      </c>
      <c r="O313" s="143">
        <f t="shared" si="13"/>
        <v>4804.3908053691275</v>
      </c>
      <c r="P313" s="144">
        <f t="shared" si="14"/>
        <v>4364.8178611484409</v>
      </c>
    </row>
    <row r="314" spans="3:16" x14ac:dyDescent="0.2">
      <c r="C314" s="145"/>
      <c r="D314" s="164" t="s">
        <v>400</v>
      </c>
      <c r="E314" s="137">
        <v>37074</v>
      </c>
      <c r="F314" s="172" t="str">
        <f t="shared" si="15"/>
        <v>2001-02</v>
      </c>
      <c r="H314" s="173" t="s">
        <v>190</v>
      </c>
      <c r="I314" s="174">
        <v>25184.239534746859</v>
      </c>
      <c r="J314" s="168">
        <f>IF(E314&lt;DATE(2016,1,1),IF(OR(M314="metres",M314="pipe"),INDEX('Scheme cost allocation'!$D$21:$D$42,MATCH(IF(MONTH(E314)&lt;7,YEAR(E314),YEAR(E314)+1),'Scheme cost allocation'!$C$21:$C$42,0))*'Scheme cost allocation'!$J$21,'Scheme cost allocation'!$J$21),'Scheme cost allocation'!$J$21)</f>
        <v>0.90850599752846017</v>
      </c>
      <c r="K314" s="47"/>
      <c r="L314" s="169">
        <v>1</v>
      </c>
      <c r="M314" s="175" t="s">
        <v>242</v>
      </c>
      <c r="N314" s="169">
        <v>24798.60021419009</v>
      </c>
      <c r="O314" s="143">
        <f t="shared" si="13"/>
        <v>24798.60021419009</v>
      </c>
      <c r="P314" s="144">
        <f t="shared" si="14"/>
        <v>22529.677024902252</v>
      </c>
    </row>
    <row r="315" spans="3:16" x14ac:dyDescent="0.2">
      <c r="C315" s="145"/>
      <c r="D315" s="164" t="s">
        <v>401</v>
      </c>
      <c r="E315" s="137">
        <v>37074</v>
      </c>
      <c r="F315" s="172" t="str">
        <f t="shared" si="15"/>
        <v>2001-02</v>
      </c>
      <c r="H315" s="173" t="s">
        <v>190</v>
      </c>
      <c r="I315" s="174">
        <v>25184.239534746859</v>
      </c>
      <c r="J315" s="168">
        <f>IF(E315&lt;DATE(2016,1,1),IF(OR(M315="metres",M315="pipe"),INDEX('Scheme cost allocation'!$D$21:$D$42,MATCH(IF(MONTH(E315)&lt;7,YEAR(E315),YEAR(E315)+1),'Scheme cost allocation'!$C$21:$C$42,0))*'Scheme cost allocation'!$J$21,'Scheme cost allocation'!$J$21),'Scheme cost allocation'!$J$21)</f>
        <v>0.90850599752846017</v>
      </c>
      <c r="K315" s="47"/>
      <c r="L315" s="169">
        <v>1</v>
      </c>
      <c r="M315" s="175" t="s">
        <v>242</v>
      </c>
      <c r="N315" s="169">
        <v>39466.541981258364</v>
      </c>
      <c r="O315" s="143">
        <f t="shared" si="13"/>
        <v>39466.541981258364</v>
      </c>
      <c r="P315" s="144">
        <f t="shared" si="14"/>
        <v>35855.590091681981</v>
      </c>
    </row>
    <row r="316" spans="3:16" x14ac:dyDescent="0.2">
      <c r="C316" s="145"/>
      <c r="D316" s="164" t="s">
        <v>402</v>
      </c>
      <c r="E316" s="137">
        <v>37074</v>
      </c>
      <c r="F316" s="172" t="str">
        <f t="shared" si="15"/>
        <v>2001-02</v>
      </c>
      <c r="H316" s="173" t="s">
        <v>190</v>
      </c>
      <c r="I316" s="174">
        <v>25184.239534746859</v>
      </c>
      <c r="J316" s="168">
        <f>IF(E316&lt;DATE(2016,1,1),IF(OR(M316="metres",M316="pipe"),INDEX('Scheme cost allocation'!$D$21:$D$42,MATCH(IF(MONTH(E316)&lt;7,YEAR(E316),YEAR(E316)+1),'Scheme cost allocation'!$C$21:$C$42,0))*'Scheme cost allocation'!$J$21,'Scheme cost allocation'!$J$21),'Scheme cost allocation'!$J$21)</f>
        <v>0.90850599752846017</v>
      </c>
      <c r="K316" s="47"/>
      <c r="L316" s="169">
        <v>1</v>
      </c>
      <c r="M316" s="175" t="s">
        <v>242</v>
      </c>
      <c r="N316" s="169">
        <v>123601.85595716198</v>
      </c>
      <c r="O316" s="143">
        <f t="shared" si="13"/>
        <v>123601.85595716198</v>
      </c>
      <c r="P316" s="144">
        <f t="shared" si="14"/>
        <v>112293.0274427305</v>
      </c>
    </row>
    <row r="317" spans="3:16" x14ac:dyDescent="0.2">
      <c r="C317" s="145"/>
      <c r="D317" s="164" t="s">
        <v>403</v>
      </c>
      <c r="E317" s="137">
        <v>37144</v>
      </c>
      <c r="F317" s="172" t="str">
        <f t="shared" si="15"/>
        <v>2001-02</v>
      </c>
      <c r="H317" s="173" t="s">
        <v>190</v>
      </c>
      <c r="I317" s="174">
        <v>25184.239534746859</v>
      </c>
      <c r="J317" s="168">
        <f>IF(E317&lt;DATE(2016,1,1),IF(OR(M317="metres",M317="pipe"),INDEX('Scheme cost allocation'!$D$21:$D$42,MATCH(IF(MONTH(E317)&lt;7,YEAR(E317),YEAR(E317)+1),'Scheme cost allocation'!$C$21:$C$42,0))*'Scheme cost allocation'!$J$21,'Scheme cost allocation'!$J$21),'Scheme cost allocation'!$J$21)</f>
        <v>0.90850599752846017</v>
      </c>
      <c r="K317" s="47"/>
      <c r="L317" s="169">
        <v>1</v>
      </c>
      <c r="M317" s="175" t="s">
        <v>242</v>
      </c>
      <c r="N317" s="169">
        <v>646949.65693813923</v>
      </c>
      <c r="O317" s="143">
        <f t="shared" si="13"/>
        <v>646949.65693813923</v>
      </c>
      <c r="P317" s="144">
        <f t="shared" si="14"/>
        <v>587757.64342727931</v>
      </c>
    </row>
    <row r="318" spans="3:16" x14ac:dyDescent="0.2">
      <c r="C318" s="145"/>
      <c r="D318" s="164" t="s">
        <v>404</v>
      </c>
      <c r="E318" s="137">
        <v>37182</v>
      </c>
      <c r="F318" s="172" t="str">
        <f t="shared" si="15"/>
        <v>2001-02</v>
      </c>
      <c r="H318" s="173" t="s">
        <v>190</v>
      </c>
      <c r="I318" s="174">
        <v>25184.239534746859</v>
      </c>
      <c r="J318" s="168">
        <f>IF(E318&lt;DATE(2016,1,1),IF(OR(M318="metres",M318="pipe"),INDEX('Scheme cost allocation'!$D$21:$D$42,MATCH(IF(MONTH(E318)&lt;7,YEAR(E318),YEAR(E318)+1),'Scheme cost allocation'!$C$21:$C$42,0))*'Scheme cost allocation'!$J$21,'Scheme cost allocation'!$J$21),'Scheme cost allocation'!$J$21)</f>
        <v>0.90850599752846017</v>
      </c>
      <c r="K318" s="47"/>
      <c r="L318" s="169">
        <v>1</v>
      </c>
      <c r="M318" s="175" t="s">
        <v>242</v>
      </c>
      <c r="N318" s="169">
        <v>80283.286340344799</v>
      </c>
      <c r="O318" s="143">
        <f t="shared" si="13"/>
        <v>80283.286340344799</v>
      </c>
      <c r="P318" s="144">
        <f t="shared" si="14"/>
        <v>72937.847141497958</v>
      </c>
    </row>
    <row r="319" spans="3:16" x14ac:dyDescent="0.2">
      <c r="C319" s="145"/>
      <c r="D319" s="164" t="s">
        <v>405</v>
      </c>
      <c r="E319" s="137">
        <v>37182</v>
      </c>
      <c r="F319" s="172" t="str">
        <f t="shared" si="15"/>
        <v>2001-02</v>
      </c>
      <c r="H319" s="173" t="s">
        <v>190</v>
      </c>
      <c r="I319" s="174">
        <v>25184.239534746859</v>
      </c>
      <c r="J319" s="168">
        <f>IF(E319&lt;DATE(2016,1,1),IF(OR(M319="metres",M319="pipe"),INDEX('Scheme cost allocation'!$D$21:$D$42,MATCH(IF(MONTH(E319)&lt;7,YEAR(E319),YEAR(E319)+1),'Scheme cost allocation'!$C$21:$C$42,0))*'Scheme cost allocation'!$J$21,'Scheme cost allocation'!$J$21),'Scheme cost allocation'!$J$21)</f>
        <v>0.90850599752846017</v>
      </c>
      <c r="K319" s="47"/>
      <c r="L319" s="169">
        <v>1</v>
      </c>
      <c r="M319" s="175" t="s">
        <v>242</v>
      </c>
      <c r="N319" s="169">
        <v>122836.25346379309</v>
      </c>
      <c r="O319" s="143">
        <f t="shared" si="13"/>
        <v>122836.25346379309</v>
      </c>
      <c r="P319" s="144">
        <f t="shared" si="14"/>
        <v>111597.47298578212</v>
      </c>
    </row>
    <row r="320" spans="3:16" x14ac:dyDescent="0.2">
      <c r="C320" s="145"/>
      <c r="D320" s="164" t="s">
        <v>406</v>
      </c>
      <c r="E320" s="137">
        <v>37244</v>
      </c>
      <c r="F320" s="172" t="str">
        <f t="shared" si="15"/>
        <v>2001-02</v>
      </c>
      <c r="H320" s="173" t="s">
        <v>190</v>
      </c>
      <c r="I320" s="174">
        <v>25184.239534746859</v>
      </c>
      <c r="J320" s="168">
        <f>IF(E320&lt;DATE(2016,1,1),IF(OR(M320="metres",M320="pipe"),INDEX('Scheme cost allocation'!$D$21:$D$42,MATCH(IF(MONTH(E320)&lt;7,YEAR(E320),YEAR(E320)+1),'Scheme cost allocation'!$C$21:$C$42,0))*'Scheme cost allocation'!$J$21,'Scheme cost allocation'!$J$21),'Scheme cost allocation'!$J$21)</f>
        <v>0.90850599752846017</v>
      </c>
      <c r="K320" s="47"/>
      <c r="L320" s="169">
        <v>1</v>
      </c>
      <c r="M320" s="175" t="s">
        <v>242</v>
      </c>
      <c r="N320" s="169">
        <v>64511.843099137921</v>
      </c>
      <c r="O320" s="143">
        <f t="shared" si="13"/>
        <v>64511.843099137921</v>
      </c>
      <c r="P320" s="144">
        <f t="shared" si="14"/>
        <v>58609.396367181806</v>
      </c>
    </row>
    <row r="321" spans="3:16" x14ac:dyDescent="0.2">
      <c r="C321" s="145"/>
      <c r="D321" s="164" t="s">
        <v>407</v>
      </c>
      <c r="E321" s="137">
        <v>37246</v>
      </c>
      <c r="F321" s="172" t="str">
        <f t="shared" si="15"/>
        <v>2001-02</v>
      </c>
      <c r="H321" s="173" t="s">
        <v>190</v>
      </c>
      <c r="I321" s="174">
        <v>25184.239534746859</v>
      </c>
      <c r="J321" s="168">
        <f>IF(E321&lt;DATE(2016,1,1),IF(OR(M321="metres",M321="pipe"),INDEX('Scheme cost allocation'!$D$21:$D$42,MATCH(IF(MONTH(E321)&lt;7,YEAR(E321),YEAR(E321)+1),'Scheme cost allocation'!$C$21:$C$42,0))*'Scheme cost allocation'!$J$21,'Scheme cost allocation'!$J$21),'Scheme cost allocation'!$J$21)</f>
        <v>0.90850599752846017</v>
      </c>
      <c r="K321" s="47"/>
      <c r="L321" s="169">
        <v>1</v>
      </c>
      <c r="M321" s="175" t="s">
        <v>242</v>
      </c>
      <c r="N321" s="169">
        <v>278612.710020862</v>
      </c>
      <c r="O321" s="143">
        <f t="shared" si="13"/>
        <v>278612.710020862</v>
      </c>
      <c r="P321" s="144">
        <f t="shared" si="14"/>
        <v>253121.31804161085</v>
      </c>
    </row>
    <row r="322" spans="3:16" x14ac:dyDescent="0.2">
      <c r="C322" s="145"/>
      <c r="D322" s="164" t="s">
        <v>408</v>
      </c>
      <c r="E322" s="137">
        <v>37246</v>
      </c>
      <c r="F322" s="172" t="str">
        <f t="shared" si="15"/>
        <v>2001-02</v>
      </c>
      <c r="H322" s="173" t="s">
        <v>190</v>
      </c>
      <c r="I322" s="174">
        <v>25184.239534746859</v>
      </c>
      <c r="J322" s="168">
        <f>IF(E322&lt;DATE(2016,1,1),IF(OR(M322="metres",M322="pipe"),INDEX('Scheme cost allocation'!$D$21:$D$42,MATCH(IF(MONTH(E322)&lt;7,YEAR(E322),YEAR(E322)+1),'Scheme cost allocation'!$C$21:$C$42,0))*'Scheme cost allocation'!$J$21,'Scheme cost allocation'!$J$21),'Scheme cost allocation'!$J$21)</f>
        <v>0.90850599752846017</v>
      </c>
      <c r="K322" s="47"/>
      <c r="L322" s="169">
        <v>1</v>
      </c>
      <c r="M322" s="175" t="s">
        <v>242</v>
      </c>
      <c r="N322" s="169">
        <v>638049.69501293101</v>
      </c>
      <c r="O322" s="143">
        <f t="shared" si="13"/>
        <v>638049.69501293101</v>
      </c>
      <c r="P322" s="144">
        <f t="shared" si="14"/>
        <v>579671.97464045265</v>
      </c>
    </row>
    <row r="323" spans="3:16" x14ac:dyDescent="0.2">
      <c r="C323" s="145"/>
      <c r="D323" s="164" t="s">
        <v>409</v>
      </c>
      <c r="E323" s="137">
        <v>37277</v>
      </c>
      <c r="F323" s="172" t="str">
        <f t="shared" si="15"/>
        <v>2001-02</v>
      </c>
      <c r="H323" s="173" t="s">
        <v>190</v>
      </c>
      <c r="I323" s="174">
        <v>25184.239534746859</v>
      </c>
      <c r="J323" s="168">
        <f>IF(E323&lt;DATE(2016,1,1),IF(OR(M323="metres",M323="pipe"),INDEX('Scheme cost allocation'!$D$21:$D$42,MATCH(IF(MONTH(E323)&lt;7,YEAR(E323),YEAR(E323)+1),'Scheme cost allocation'!$C$21:$C$42,0))*'Scheme cost allocation'!$J$21,'Scheme cost allocation'!$J$21),'Scheme cost allocation'!$J$21)</f>
        <v>0.90850599752846017</v>
      </c>
      <c r="K323" s="47"/>
      <c r="L323" s="169">
        <v>1</v>
      </c>
      <c r="M323" s="175" t="s">
        <v>242</v>
      </c>
      <c r="N323" s="169">
        <v>251536.30606649147</v>
      </c>
      <c r="O323" s="143">
        <f t="shared" si="13"/>
        <v>251536.30606649147</v>
      </c>
      <c r="P323" s="144">
        <f t="shared" si="14"/>
        <v>228522.2426575619</v>
      </c>
    </row>
    <row r="324" spans="3:16" x14ac:dyDescent="0.2">
      <c r="C324" s="145"/>
      <c r="D324" s="164" t="s">
        <v>410</v>
      </c>
      <c r="E324" s="137">
        <v>37333</v>
      </c>
      <c r="F324" s="172" t="str">
        <f t="shared" si="15"/>
        <v>2001-02</v>
      </c>
      <c r="H324" s="173" t="s">
        <v>190</v>
      </c>
      <c r="I324" s="174">
        <v>25184.239534746859</v>
      </c>
      <c r="J324" s="168">
        <f>IF(E324&lt;DATE(2016,1,1),IF(OR(M324="metres",M324="pipe"),INDEX('Scheme cost allocation'!$D$21:$D$42,MATCH(IF(MONTH(E324)&lt;7,YEAR(E324),YEAR(E324)+1),'Scheme cost allocation'!$C$21:$C$42,0))*'Scheme cost allocation'!$J$21,'Scheme cost allocation'!$J$21),'Scheme cost allocation'!$J$21)</f>
        <v>0.90850599752846017</v>
      </c>
      <c r="K324" s="47"/>
      <c r="L324" s="169">
        <v>1</v>
      </c>
      <c r="M324" s="175" t="s">
        <v>242</v>
      </c>
      <c r="N324" s="169">
        <v>1265149.5165524704</v>
      </c>
      <c r="O324" s="143">
        <f t="shared" si="13"/>
        <v>1265149.5165524704</v>
      </c>
      <c r="P324" s="144">
        <f t="shared" si="14"/>
        <v>1149395.9235581513</v>
      </c>
    </row>
    <row r="325" spans="3:16" x14ac:dyDescent="0.2">
      <c r="C325" s="145"/>
      <c r="D325" s="164" t="s">
        <v>411</v>
      </c>
      <c r="E325" s="137">
        <v>37419</v>
      </c>
      <c r="F325" s="172" t="str">
        <f t="shared" si="15"/>
        <v>2001-02</v>
      </c>
      <c r="H325" s="173" t="s">
        <v>190</v>
      </c>
      <c r="I325" s="174">
        <v>25184.239534746859</v>
      </c>
      <c r="J325" s="168">
        <f>IF(E325&lt;DATE(2016,1,1),IF(OR(M325="metres",M325="pipe"),INDEX('Scheme cost allocation'!$D$21:$D$42,MATCH(IF(MONTH(E325)&lt;7,YEAR(E325),YEAR(E325)+1),'Scheme cost allocation'!$C$21:$C$42,0))*'Scheme cost allocation'!$J$21,'Scheme cost allocation'!$J$21),'Scheme cost allocation'!$J$21)</f>
        <v>0.90850599752846017</v>
      </c>
      <c r="K325" s="47"/>
      <c r="L325" s="169">
        <v>1</v>
      </c>
      <c r="M325" s="175" t="s">
        <v>242</v>
      </c>
      <c r="N325" s="169">
        <v>125006.4120527154</v>
      </c>
      <c r="O325" s="143">
        <f t="shared" si="13"/>
        <v>125006.4120527154</v>
      </c>
      <c r="P325" s="144">
        <f t="shared" si="14"/>
        <v>113569.07507940593</v>
      </c>
    </row>
    <row r="326" spans="3:16" x14ac:dyDescent="0.2">
      <c r="C326" s="145"/>
      <c r="D326" s="164" t="s">
        <v>412</v>
      </c>
      <c r="E326" s="137">
        <v>37433</v>
      </c>
      <c r="F326" s="172" t="str">
        <f t="shared" si="15"/>
        <v>2001-02</v>
      </c>
      <c r="H326" s="173" t="s">
        <v>190</v>
      </c>
      <c r="I326" s="174">
        <v>25184.239534746859</v>
      </c>
      <c r="J326" s="168">
        <f>IF(E326&lt;DATE(2016,1,1),IF(OR(M326="metres",M326="pipe"),INDEX('Scheme cost allocation'!$D$21:$D$42,MATCH(IF(MONTH(E326)&lt;7,YEAR(E326),YEAR(E326)+1),'Scheme cost allocation'!$C$21:$C$42,0))*'Scheme cost allocation'!$J$21,'Scheme cost allocation'!$J$21),'Scheme cost allocation'!$J$21)</f>
        <v>0.90850599752846017</v>
      </c>
      <c r="K326" s="47"/>
      <c r="L326" s="169">
        <v>1</v>
      </c>
      <c r="M326" s="175" t="s">
        <v>242</v>
      </c>
      <c r="N326" s="169">
        <v>547989.90326919057</v>
      </c>
      <c r="O326" s="143">
        <f t="shared" si="13"/>
        <v>547989.90326919057</v>
      </c>
      <c r="P326" s="144">
        <f t="shared" si="14"/>
        <v>497852.11370510038</v>
      </c>
    </row>
    <row r="327" spans="3:16" x14ac:dyDescent="0.2">
      <c r="C327" s="145"/>
      <c r="D327" s="164" t="s">
        <v>413</v>
      </c>
      <c r="E327" s="137">
        <v>37434</v>
      </c>
      <c r="F327" s="172" t="str">
        <f t="shared" si="15"/>
        <v>2001-02</v>
      </c>
      <c r="H327" s="173" t="s">
        <v>190</v>
      </c>
      <c r="I327" s="174">
        <v>25184.239534746859</v>
      </c>
      <c r="J327" s="168">
        <f>IF(E327&lt;DATE(2016,1,1),IF(OR(M327="metres",M327="pipe"),INDEX('Scheme cost allocation'!$D$21:$D$42,MATCH(IF(MONTH(E327)&lt;7,YEAR(E327),YEAR(E327)+1),'Scheme cost allocation'!$C$21:$C$42,0))*'Scheme cost allocation'!$J$21,'Scheme cost allocation'!$J$21),'Scheme cost allocation'!$J$21)</f>
        <v>0.90850599752846017</v>
      </c>
      <c r="K327" s="47"/>
      <c r="L327" s="169">
        <v>1</v>
      </c>
      <c r="M327" s="175" t="s">
        <v>242</v>
      </c>
      <c r="N327" s="169">
        <v>216454.33916342034</v>
      </c>
      <c r="O327" s="143">
        <f t="shared" si="13"/>
        <v>216454.33916342034</v>
      </c>
      <c r="P327" s="144">
        <f t="shared" si="14"/>
        <v>196650.06532102684</v>
      </c>
    </row>
    <row r="328" spans="3:16" x14ac:dyDescent="0.2">
      <c r="C328" s="145"/>
      <c r="D328" s="164" t="s">
        <v>414</v>
      </c>
      <c r="E328" s="137">
        <v>37435</v>
      </c>
      <c r="F328" s="172" t="str">
        <f t="shared" si="15"/>
        <v>2001-02</v>
      </c>
      <c r="H328" s="173" t="s">
        <v>190</v>
      </c>
      <c r="I328" s="174">
        <v>25184.239534746859</v>
      </c>
      <c r="J328" s="168">
        <f>IF(E328&lt;DATE(2016,1,1),IF(OR(M328="metres",M328="pipe"),INDEX('Scheme cost allocation'!$D$21:$D$42,MATCH(IF(MONTH(E328)&lt;7,YEAR(E328),YEAR(E328)+1),'Scheme cost allocation'!$C$21:$C$42,0))*'Scheme cost allocation'!$J$21,'Scheme cost allocation'!$J$21),'Scheme cost allocation'!$J$21)</f>
        <v>0.90850599752846017</v>
      </c>
      <c r="K328" s="47"/>
      <c r="L328" s="169">
        <v>1</v>
      </c>
      <c r="M328" s="175" t="s">
        <v>242</v>
      </c>
      <c r="N328" s="169">
        <v>188537.20666697127</v>
      </c>
      <c r="O328" s="143">
        <f t="shared" si="13"/>
        <v>188537.20666697127</v>
      </c>
      <c r="P328" s="144">
        <f t="shared" si="14"/>
        <v>171287.18301420618</v>
      </c>
    </row>
    <row r="329" spans="3:16" x14ac:dyDescent="0.2">
      <c r="C329" s="145"/>
      <c r="D329" s="164" t="s">
        <v>415</v>
      </c>
      <c r="E329" s="137">
        <v>37443</v>
      </c>
      <c r="F329" s="172" t="str">
        <f t="shared" si="15"/>
        <v>2002-03</v>
      </c>
      <c r="H329" s="173" t="s">
        <v>190</v>
      </c>
      <c r="I329" s="174">
        <v>25184.239534746859</v>
      </c>
      <c r="J329" s="168">
        <f>IF(E329&lt;DATE(2016,1,1),IF(OR(M329="metres",M329="pipe"),INDEX('Scheme cost allocation'!$D$21:$D$42,MATCH(IF(MONTH(E329)&lt;7,YEAR(E329),YEAR(E329)+1),'Scheme cost allocation'!$C$21:$C$42,0))*'Scheme cost allocation'!$J$21,'Scheme cost allocation'!$J$21),'Scheme cost allocation'!$J$21)</f>
        <v>0.90850599752846017</v>
      </c>
      <c r="K329" s="47"/>
      <c r="L329" s="169">
        <v>1</v>
      </c>
      <c r="M329" s="175" t="s">
        <v>242</v>
      </c>
      <c r="N329" s="169">
        <v>727685.44593518809</v>
      </c>
      <c r="O329" s="143">
        <f t="shared" si="13"/>
        <v>727685.44593518809</v>
      </c>
      <c r="P329" s="144">
        <f t="shared" si="14"/>
        <v>661106.59194629046</v>
      </c>
    </row>
    <row r="330" spans="3:16" x14ac:dyDescent="0.2">
      <c r="C330" s="145"/>
      <c r="D330" s="164" t="s">
        <v>416</v>
      </c>
      <c r="E330" s="137">
        <v>37480</v>
      </c>
      <c r="F330" s="172" t="str">
        <f t="shared" si="15"/>
        <v>2002-03</v>
      </c>
      <c r="H330" s="173" t="s">
        <v>190</v>
      </c>
      <c r="I330" s="174">
        <v>25184.239534746859</v>
      </c>
      <c r="J330" s="168">
        <f>IF(E330&lt;DATE(2016,1,1),IF(OR(M330="metres",M330="pipe"),INDEX('Scheme cost allocation'!$D$21:$D$42,MATCH(IF(MONTH(E330)&lt;7,YEAR(E330),YEAR(E330)+1),'Scheme cost allocation'!$C$21:$C$42,0))*'Scheme cost allocation'!$J$21,'Scheme cost allocation'!$J$21),'Scheme cost allocation'!$J$21)</f>
        <v>0.90850599752846017</v>
      </c>
      <c r="K330" s="47"/>
      <c r="L330" s="169">
        <v>1</v>
      </c>
      <c r="M330" s="175" t="s">
        <v>242</v>
      </c>
      <c r="N330" s="169">
        <v>279015.28520852141</v>
      </c>
      <c r="O330" s="143">
        <f t="shared" si="13"/>
        <v>279015.28520852141</v>
      </c>
      <c r="P330" s="144">
        <f t="shared" si="14"/>
        <v>253487.06001405558</v>
      </c>
    </row>
    <row r="331" spans="3:16" x14ac:dyDescent="0.2">
      <c r="C331" s="145"/>
      <c r="D331" s="164" t="s">
        <v>417</v>
      </c>
      <c r="E331" s="137">
        <v>37512</v>
      </c>
      <c r="F331" s="172" t="str">
        <f t="shared" si="15"/>
        <v>2002-03</v>
      </c>
      <c r="H331" s="173" t="s">
        <v>190</v>
      </c>
      <c r="I331" s="174">
        <v>25184.239534746859</v>
      </c>
      <c r="J331" s="168">
        <f>IF(E331&lt;DATE(2016,1,1),IF(OR(M331="metres",M331="pipe"),INDEX('Scheme cost allocation'!$D$21:$D$42,MATCH(IF(MONTH(E331)&lt;7,YEAR(E331),YEAR(E331)+1),'Scheme cost allocation'!$C$21:$C$42,0))*'Scheme cost allocation'!$J$21,'Scheme cost allocation'!$J$21),'Scheme cost allocation'!$J$21)</f>
        <v>0.90850599752846017</v>
      </c>
      <c r="K331" s="47"/>
      <c r="L331" s="169">
        <v>1</v>
      </c>
      <c r="M331" s="175" t="s">
        <v>242</v>
      </c>
      <c r="N331" s="169">
        <v>483093.1252619974</v>
      </c>
      <c r="O331" s="143">
        <f t="shared" si="13"/>
        <v>483093.1252619974</v>
      </c>
      <c r="P331" s="144">
        <f t="shared" si="14"/>
        <v>438893.00166529231</v>
      </c>
    </row>
    <row r="332" spans="3:16" x14ac:dyDescent="0.2">
      <c r="C332" s="145"/>
      <c r="D332" s="164" t="s">
        <v>418</v>
      </c>
      <c r="E332" s="137">
        <v>37529</v>
      </c>
      <c r="F332" s="172" t="str">
        <f t="shared" si="15"/>
        <v>2002-03</v>
      </c>
      <c r="H332" s="173" t="s">
        <v>190</v>
      </c>
      <c r="I332" s="174">
        <v>25184.239534746859</v>
      </c>
      <c r="J332" s="168">
        <f>IF(E332&lt;DATE(2016,1,1),IF(OR(M332="metres",M332="pipe"),INDEX('Scheme cost allocation'!$D$21:$D$42,MATCH(IF(MONTH(E332)&lt;7,YEAR(E332),YEAR(E332)+1),'Scheme cost allocation'!$C$21:$C$42,0))*'Scheme cost allocation'!$J$21,'Scheme cost allocation'!$J$21),'Scheme cost allocation'!$J$21)</f>
        <v>0.90850599752846017</v>
      </c>
      <c r="K332" s="47"/>
      <c r="L332" s="169">
        <v>1</v>
      </c>
      <c r="M332" s="175" t="s">
        <v>242</v>
      </c>
      <c r="N332" s="169">
        <v>108574.48402009079</v>
      </c>
      <c r="O332" s="143">
        <f t="shared" si="13"/>
        <v>108574.48402009079</v>
      </c>
      <c r="P332" s="144">
        <f t="shared" si="14"/>
        <v>98640.569910810445</v>
      </c>
    </row>
    <row r="333" spans="3:16" x14ac:dyDescent="0.2">
      <c r="C333" s="145"/>
      <c r="D333" s="164" t="s">
        <v>419</v>
      </c>
      <c r="E333" s="137">
        <v>37613</v>
      </c>
      <c r="F333" s="172" t="str">
        <f t="shared" si="15"/>
        <v>2002-03</v>
      </c>
      <c r="H333" s="173" t="s">
        <v>190</v>
      </c>
      <c r="I333" s="174">
        <v>25184.239534746859</v>
      </c>
      <c r="J333" s="168">
        <f>IF(E333&lt;DATE(2016,1,1),IF(OR(M333="metres",M333="pipe"),INDEX('Scheme cost allocation'!$D$21:$D$42,MATCH(IF(MONTH(E333)&lt;7,YEAR(E333),YEAR(E333)+1),'Scheme cost allocation'!$C$21:$C$42,0))*'Scheme cost allocation'!$J$21,'Scheme cost allocation'!$J$21),'Scheme cost allocation'!$J$21)</f>
        <v>0.90850599752846017</v>
      </c>
      <c r="K333" s="47"/>
      <c r="L333" s="169">
        <v>1</v>
      </c>
      <c r="M333" s="175" t="s">
        <v>242</v>
      </c>
      <c r="N333" s="169">
        <v>4706.5947164948457</v>
      </c>
      <c r="O333" s="143">
        <f t="shared" si="13"/>
        <v>4706.5947164948457</v>
      </c>
      <c r="P333" s="144">
        <f t="shared" si="14"/>
        <v>4275.9695278713298</v>
      </c>
    </row>
    <row r="334" spans="3:16" x14ac:dyDescent="0.2">
      <c r="C334" s="145"/>
      <c r="D334" s="164" t="s">
        <v>420</v>
      </c>
      <c r="E334" s="137">
        <v>37680</v>
      </c>
      <c r="F334" s="172" t="str">
        <f t="shared" si="15"/>
        <v>2002-03</v>
      </c>
      <c r="H334" s="173" t="s">
        <v>190</v>
      </c>
      <c r="I334" s="174">
        <v>25184.239534746859</v>
      </c>
      <c r="J334" s="168">
        <f>IF(E334&lt;DATE(2016,1,1),IF(OR(M334="metres",M334="pipe"),INDEX('Scheme cost allocation'!$D$21:$D$42,MATCH(IF(MONTH(E334)&lt;7,YEAR(E334),YEAR(E334)+1),'Scheme cost allocation'!$C$21:$C$42,0))*'Scheme cost allocation'!$J$21,'Scheme cost allocation'!$J$21),'Scheme cost allocation'!$J$21)</f>
        <v>0.90850599752846017</v>
      </c>
      <c r="K334" s="47"/>
      <c r="L334" s="169">
        <v>1</v>
      </c>
      <c r="M334" s="175" t="s">
        <v>242</v>
      </c>
      <c r="N334" s="169">
        <v>360939.28254062339</v>
      </c>
      <c r="O334" s="143">
        <f t="shared" si="13"/>
        <v>360939.28254062339</v>
      </c>
      <c r="P334" s="144">
        <f t="shared" si="14"/>
        <v>327915.50293177576</v>
      </c>
    </row>
    <row r="335" spans="3:16" x14ac:dyDescent="0.2">
      <c r="C335" s="145"/>
      <c r="D335" s="164" t="s">
        <v>421</v>
      </c>
      <c r="E335" s="137">
        <v>37708</v>
      </c>
      <c r="F335" s="172" t="str">
        <f t="shared" si="15"/>
        <v>2002-03</v>
      </c>
      <c r="H335" s="173" t="s">
        <v>190</v>
      </c>
      <c r="I335" s="174">
        <v>25184.239534746859</v>
      </c>
      <c r="J335" s="168">
        <f>IF(E335&lt;DATE(2016,1,1),IF(OR(M335="metres",M335="pipe"),INDEX('Scheme cost allocation'!$D$21:$D$42,MATCH(IF(MONTH(E335)&lt;7,YEAR(E335),YEAR(E335)+1),'Scheme cost allocation'!$C$21:$C$42,0))*'Scheme cost allocation'!$J$21,'Scheme cost allocation'!$J$21),'Scheme cost allocation'!$J$21)</f>
        <v>0.90850599752846017</v>
      </c>
      <c r="K335" s="47"/>
      <c r="L335" s="169">
        <v>1</v>
      </c>
      <c r="M335" s="175" t="s">
        <v>242</v>
      </c>
      <c r="N335" s="169">
        <v>41285.592564567429</v>
      </c>
      <c r="O335" s="143">
        <f t="shared" si="13"/>
        <v>41285.592564567429</v>
      </c>
      <c r="P335" s="144">
        <f t="shared" si="14"/>
        <v>37508.208456425913</v>
      </c>
    </row>
    <row r="336" spans="3:16" x14ac:dyDescent="0.2">
      <c r="C336" s="145"/>
      <c r="D336" s="164" t="s">
        <v>422</v>
      </c>
      <c r="E336" s="137">
        <v>37939</v>
      </c>
      <c r="F336" s="172" t="str">
        <f t="shared" si="15"/>
        <v>2003-04</v>
      </c>
      <c r="H336" s="173" t="s">
        <v>190</v>
      </c>
      <c r="I336" s="174">
        <v>25184.239534746859</v>
      </c>
      <c r="J336" s="168">
        <f>IF(E336&lt;DATE(2016,1,1),IF(OR(M336="metres",M336="pipe"),INDEX('Scheme cost allocation'!$D$21:$D$42,MATCH(IF(MONTH(E336)&lt;7,YEAR(E336),YEAR(E336)+1),'Scheme cost allocation'!$C$21:$C$42,0))*'Scheme cost allocation'!$J$21,'Scheme cost allocation'!$J$21),'Scheme cost allocation'!$J$21)</f>
        <v>0.90850599752846017</v>
      </c>
      <c r="K336" s="47"/>
      <c r="L336" s="169">
        <v>1</v>
      </c>
      <c r="M336" s="175" t="s">
        <v>242</v>
      </c>
      <c r="N336" s="169">
        <v>464029.86941722006</v>
      </c>
      <c r="O336" s="143">
        <f t="shared" si="13"/>
        <v>464029.86941722006</v>
      </c>
      <c r="P336" s="144">
        <f t="shared" si="14"/>
        <v>421573.91939789261</v>
      </c>
    </row>
    <row r="337" spans="3:16" x14ac:dyDescent="0.2">
      <c r="C337" s="145"/>
      <c r="D337" s="164" t="s">
        <v>423</v>
      </c>
      <c r="E337" s="137">
        <v>38842</v>
      </c>
      <c r="F337" s="172" t="str">
        <f t="shared" si="15"/>
        <v>2005-06</v>
      </c>
      <c r="H337" s="173" t="s">
        <v>190</v>
      </c>
      <c r="I337" s="174">
        <v>25184.239534746859</v>
      </c>
      <c r="J337" s="168">
        <f>IF(E337&lt;DATE(2016,1,1),IF(OR(M337="metres",M337="pipe"),INDEX('Scheme cost allocation'!$D$21:$D$42,MATCH(IF(MONTH(E337)&lt;7,YEAR(E337),YEAR(E337)+1),'Scheme cost allocation'!$C$21:$C$42,0))*'Scheme cost allocation'!$J$21,'Scheme cost allocation'!$J$21),'Scheme cost allocation'!$J$21)</f>
        <v>0.90850599752846017</v>
      </c>
      <c r="K337" s="47"/>
      <c r="L337" s="169">
        <v>1</v>
      </c>
      <c r="M337" s="175" t="s">
        <v>242</v>
      </c>
      <c r="N337" s="169">
        <v>627161.28380080312</v>
      </c>
      <c r="O337" s="143">
        <f t="shared" si="13"/>
        <v>627161.28380080312</v>
      </c>
      <c r="P337" s="144">
        <f t="shared" si="14"/>
        <v>569779.78775067837</v>
      </c>
    </row>
    <row r="338" spans="3:16" x14ac:dyDescent="0.2">
      <c r="C338" s="145"/>
      <c r="D338" s="164" t="s">
        <v>424</v>
      </c>
      <c r="E338" s="137">
        <v>38877</v>
      </c>
      <c r="F338" s="172" t="str">
        <f t="shared" si="15"/>
        <v>2005-06</v>
      </c>
      <c r="H338" s="173" t="s">
        <v>190</v>
      </c>
      <c r="I338" s="174">
        <v>25184.239534746859</v>
      </c>
      <c r="J338" s="168">
        <f>IF(E338&lt;DATE(2016,1,1),IF(OR(M338="metres",M338="pipe"),INDEX('Scheme cost allocation'!$D$21:$D$42,MATCH(IF(MONTH(E338)&lt;7,YEAR(E338),YEAR(E338)+1),'Scheme cost allocation'!$C$21:$C$42,0))*'Scheme cost allocation'!$J$21,'Scheme cost allocation'!$J$21),'Scheme cost allocation'!$J$21)</f>
        <v>0.90850599752846017</v>
      </c>
      <c r="K338" s="47"/>
      <c r="L338" s="169">
        <v>1</v>
      </c>
      <c r="M338" s="175" t="s">
        <v>242</v>
      </c>
      <c r="N338" s="169">
        <v>2868257.3163991729</v>
      </c>
      <c r="O338" s="143">
        <f t="shared" si="13"/>
        <v>2868257.3163991729</v>
      </c>
      <c r="P338" s="144">
        <f t="shared" si="14"/>
        <v>2605828.9744035346</v>
      </c>
    </row>
    <row r="339" spans="3:16" x14ac:dyDescent="0.2">
      <c r="C339" s="145"/>
      <c r="D339" s="164" t="s">
        <v>425</v>
      </c>
      <c r="E339" s="137">
        <v>38881</v>
      </c>
      <c r="F339" s="172" t="str">
        <f t="shared" si="15"/>
        <v>2005-06</v>
      </c>
      <c r="H339" s="173" t="s">
        <v>190</v>
      </c>
      <c r="I339" s="174">
        <v>25184.239534746859</v>
      </c>
      <c r="J339" s="168">
        <f>IF(E339&lt;DATE(2016,1,1),IF(OR(M339="metres",M339="pipe"),INDEX('Scheme cost allocation'!$D$21:$D$42,MATCH(IF(MONTH(E339)&lt;7,YEAR(E339),YEAR(E339)+1),'Scheme cost allocation'!$C$21:$C$42,0))*'Scheme cost allocation'!$J$21,'Scheme cost allocation'!$J$21),'Scheme cost allocation'!$J$21)</f>
        <v>0.90850599752846017</v>
      </c>
      <c r="K339" s="47"/>
      <c r="L339" s="169">
        <v>1</v>
      </c>
      <c r="M339" s="175" t="s">
        <v>242</v>
      </c>
      <c r="N339" s="169">
        <v>999115.90011757833</v>
      </c>
      <c r="O339" s="143">
        <f t="shared" si="13"/>
        <v>999115.90011757833</v>
      </c>
      <c r="P339" s="144">
        <f t="shared" si="14"/>
        <v>907702.78748286585</v>
      </c>
    </row>
    <row r="340" spans="3:16" x14ac:dyDescent="0.2">
      <c r="C340" s="145"/>
      <c r="D340" s="164" t="s">
        <v>426</v>
      </c>
      <c r="E340" s="137">
        <v>38884</v>
      </c>
      <c r="F340" s="172" t="str">
        <f t="shared" si="15"/>
        <v>2005-06</v>
      </c>
      <c r="H340" s="173" t="s">
        <v>190</v>
      </c>
      <c r="I340" s="174">
        <v>25184.239534746859</v>
      </c>
      <c r="J340" s="168">
        <f>IF(E340&lt;DATE(2016,1,1),IF(OR(M340="metres",M340="pipe"),INDEX('Scheme cost allocation'!$D$21:$D$42,MATCH(IF(MONTH(E340)&lt;7,YEAR(E340),YEAR(E340)+1),'Scheme cost allocation'!$C$21:$C$42,0))*'Scheme cost allocation'!$J$21,'Scheme cost allocation'!$J$21),'Scheme cost allocation'!$J$21)</f>
        <v>0.90850599752846017</v>
      </c>
      <c r="K340" s="47"/>
      <c r="L340" s="169">
        <v>1</v>
      </c>
      <c r="M340" s="175" t="s">
        <v>242</v>
      </c>
      <c r="N340" s="169">
        <v>7059732.9700557264</v>
      </c>
      <c r="O340" s="143">
        <f t="shared" si="13"/>
        <v>7059732.9700557264</v>
      </c>
      <c r="P340" s="144">
        <f t="shared" si="14"/>
        <v>6413809.7442450365</v>
      </c>
    </row>
    <row r="341" spans="3:16" x14ac:dyDescent="0.2">
      <c r="C341" s="145"/>
      <c r="D341" s="164" t="s">
        <v>427</v>
      </c>
      <c r="E341" s="137">
        <v>38911</v>
      </c>
      <c r="F341" s="172" t="str">
        <f t="shared" si="15"/>
        <v>2006-07</v>
      </c>
      <c r="H341" s="173" t="s">
        <v>190</v>
      </c>
      <c r="I341" s="174">
        <v>25184.239534746859</v>
      </c>
      <c r="J341" s="168">
        <f>IF(E341&lt;DATE(2016,1,1),IF(OR(M341="metres",M341="pipe"),INDEX('Scheme cost allocation'!$D$21:$D$42,MATCH(IF(MONTH(E341)&lt;7,YEAR(E341),YEAR(E341)+1),'Scheme cost allocation'!$C$21:$C$42,0))*'Scheme cost allocation'!$J$21,'Scheme cost allocation'!$J$21),'Scheme cost allocation'!$J$21)</f>
        <v>0.90850599752846017</v>
      </c>
      <c r="K341" s="47"/>
      <c r="L341" s="169">
        <v>1</v>
      </c>
      <c r="M341" s="175" t="s">
        <v>242</v>
      </c>
      <c r="N341" s="169">
        <v>1893855.9671831254</v>
      </c>
      <c r="O341" s="143">
        <f t="shared" si="13"/>
        <v>1893855.9671831254</v>
      </c>
      <c r="P341" s="144">
        <f t="shared" si="14"/>
        <v>1720579.5046409322</v>
      </c>
    </row>
    <row r="342" spans="3:16" x14ac:dyDescent="0.2">
      <c r="C342" s="145"/>
      <c r="D342" s="164" t="s">
        <v>428</v>
      </c>
      <c r="E342" s="137">
        <v>38919</v>
      </c>
      <c r="F342" s="172" t="str">
        <f t="shared" si="15"/>
        <v>2006-07</v>
      </c>
      <c r="H342" s="173" t="s">
        <v>190</v>
      </c>
      <c r="I342" s="174">
        <v>25184.239534746859</v>
      </c>
      <c r="J342" s="168">
        <f>IF(E342&lt;DATE(2016,1,1),IF(OR(M342="metres",M342="pipe"),INDEX('Scheme cost allocation'!$D$21:$D$42,MATCH(IF(MONTH(E342)&lt;7,YEAR(E342),YEAR(E342)+1),'Scheme cost allocation'!$C$21:$C$42,0))*'Scheme cost allocation'!$J$21,'Scheme cost allocation'!$J$21),'Scheme cost allocation'!$J$21)</f>
        <v>0.90850599752846017</v>
      </c>
      <c r="K342" s="47"/>
      <c r="L342" s="169">
        <v>1</v>
      </c>
      <c r="M342" s="175" t="s">
        <v>242</v>
      </c>
      <c r="N342" s="169">
        <v>538171.72180997685</v>
      </c>
      <c r="O342" s="143">
        <f t="shared" ref="O342:O405" si="16">IF(N342="","-",L342*N342)</f>
        <v>538171.72180997685</v>
      </c>
      <c r="P342" s="144">
        <f t="shared" ref="P342:P405" si="17">IF(O342="-","-",IF(OR(E342&lt;$E$15,E342&gt;$E$16),0,O342*J342))</f>
        <v>488932.236964582</v>
      </c>
    </row>
    <row r="343" spans="3:16" x14ac:dyDescent="0.2">
      <c r="C343" s="145"/>
      <c r="D343" s="164" t="s">
        <v>429</v>
      </c>
      <c r="E343" s="137">
        <v>39009</v>
      </c>
      <c r="F343" s="172" t="str">
        <f t="shared" si="15"/>
        <v>2006-07</v>
      </c>
      <c r="H343" s="173" t="s">
        <v>190</v>
      </c>
      <c r="I343" s="174">
        <v>25184.239534746859</v>
      </c>
      <c r="J343" s="168">
        <f>IF(E343&lt;DATE(2016,1,1),IF(OR(M343="metres",M343="pipe"),INDEX('Scheme cost allocation'!$D$21:$D$42,MATCH(IF(MONTH(E343)&lt;7,YEAR(E343),YEAR(E343)+1),'Scheme cost allocation'!$C$21:$C$42,0))*'Scheme cost allocation'!$J$21,'Scheme cost allocation'!$J$21),'Scheme cost allocation'!$J$21)</f>
        <v>0.90850599752846017</v>
      </c>
      <c r="K343" s="47"/>
      <c r="L343" s="169">
        <v>1</v>
      </c>
      <c r="M343" s="175" t="s">
        <v>242</v>
      </c>
      <c r="N343" s="169">
        <v>641287.77364762127</v>
      </c>
      <c r="O343" s="143">
        <f t="shared" si="16"/>
        <v>641287.77364762127</v>
      </c>
      <c r="P343" s="144">
        <f t="shared" si="17"/>
        <v>582613.78850053751</v>
      </c>
    </row>
    <row r="344" spans="3:16" x14ac:dyDescent="0.2">
      <c r="C344" s="145"/>
      <c r="D344" s="164" t="s">
        <v>430</v>
      </c>
      <c r="E344" s="137">
        <v>39023</v>
      </c>
      <c r="F344" s="172" t="str">
        <f t="shared" si="15"/>
        <v>2006-07</v>
      </c>
      <c r="H344" s="173" t="s">
        <v>190</v>
      </c>
      <c r="I344" s="174">
        <v>25184.239534746859</v>
      </c>
      <c r="J344" s="168">
        <f>IF(E344&lt;DATE(2016,1,1),IF(OR(M344="metres",M344="pipe"),INDEX('Scheme cost allocation'!$D$21:$D$42,MATCH(IF(MONTH(E344)&lt;7,YEAR(E344),YEAR(E344)+1),'Scheme cost allocation'!$C$21:$C$42,0))*'Scheme cost allocation'!$J$21,'Scheme cost allocation'!$J$21),'Scheme cost allocation'!$J$21)</f>
        <v>0.90850599752846017</v>
      </c>
      <c r="K344" s="47"/>
      <c r="L344" s="169">
        <v>1</v>
      </c>
      <c r="M344" s="175" t="s">
        <v>242</v>
      </c>
      <c r="N344" s="169">
        <v>453558.4011002194</v>
      </c>
      <c r="O344" s="143">
        <f t="shared" si="16"/>
        <v>453558.4011002194</v>
      </c>
      <c r="P344" s="144">
        <f t="shared" si="17"/>
        <v>412060.5276289683</v>
      </c>
    </row>
    <row r="345" spans="3:16" x14ac:dyDescent="0.2">
      <c r="C345" s="145"/>
      <c r="D345" s="164" t="s">
        <v>431</v>
      </c>
      <c r="E345" s="137">
        <v>39085</v>
      </c>
      <c r="F345" s="172" t="str">
        <f t="shared" si="15"/>
        <v>2006-07</v>
      </c>
      <c r="H345" s="173" t="s">
        <v>190</v>
      </c>
      <c r="I345" s="174">
        <v>25184.239534746859</v>
      </c>
      <c r="J345" s="168">
        <f>IF(E345&lt;DATE(2016,1,1),IF(OR(M345="metres",M345="pipe"),INDEX('Scheme cost allocation'!$D$21:$D$42,MATCH(IF(MONTH(E345)&lt;7,YEAR(E345),YEAR(E345)+1),'Scheme cost allocation'!$C$21:$C$42,0))*'Scheme cost allocation'!$J$21,'Scheme cost allocation'!$J$21),'Scheme cost allocation'!$J$21)</f>
        <v>0.90850599752846017</v>
      </c>
      <c r="K345" s="47"/>
      <c r="L345" s="169">
        <v>1</v>
      </c>
      <c r="M345" s="175" t="s">
        <v>242</v>
      </c>
      <c r="N345" s="169">
        <v>9365322.0127019733</v>
      </c>
      <c r="O345" s="143">
        <f t="shared" si="16"/>
        <v>9365322.0127019733</v>
      </c>
      <c r="P345" s="144">
        <f t="shared" si="17"/>
        <v>8508451.2173250522</v>
      </c>
    </row>
    <row r="346" spans="3:16" x14ac:dyDescent="0.2">
      <c r="C346" s="145"/>
      <c r="D346" s="164" t="s">
        <v>432</v>
      </c>
      <c r="E346" s="137">
        <v>39111</v>
      </c>
      <c r="F346" s="172" t="str">
        <f t="shared" si="15"/>
        <v>2006-07</v>
      </c>
      <c r="H346" s="173" t="s">
        <v>190</v>
      </c>
      <c r="I346" s="174">
        <v>25184.239534746859</v>
      </c>
      <c r="J346" s="168">
        <f>IF(E346&lt;DATE(2016,1,1),IF(OR(M346="metres",M346="pipe"),INDEX('Scheme cost allocation'!$D$21:$D$42,MATCH(IF(MONTH(E346)&lt;7,YEAR(E346),YEAR(E346)+1),'Scheme cost allocation'!$C$21:$C$42,0))*'Scheme cost allocation'!$J$21,'Scheme cost allocation'!$J$21),'Scheme cost allocation'!$J$21)</f>
        <v>0.90850599752846017</v>
      </c>
      <c r="K346" s="47"/>
      <c r="L346" s="169">
        <v>1</v>
      </c>
      <c r="M346" s="175" t="s">
        <v>242</v>
      </c>
      <c r="N346" s="169">
        <v>1269366.5572679332</v>
      </c>
      <c r="O346" s="143">
        <f t="shared" si="16"/>
        <v>1269366.5572679332</v>
      </c>
      <c r="P346" s="144">
        <f t="shared" si="17"/>
        <v>1153227.1303399708</v>
      </c>
    </row>
    <row r="347" spans="3:16" x14ac:dyDescent="0.2">
      <c r="C347" s="145"/>
      <c r="D347" s="164" t="s">
        <v>433</v>
      </c>
      <c r="E347" s="137">
        <v>39164</v>
      </c>
      <c r="F347" s="172" t="str">
        <f t="shared" si="15"/>
        <v>2006-07</v>
      </c>
      <c r="H347" s="173" t="s">
        <v>190</v>
      </c>
      <c r="I347" s="174">
        <v>25184.239534746859</v>
      </c>
      <c r="J347" s="168">
        <f>IF(E347&lt;DATE(2016,1,1),IF(OR(M347="metres",M347="pipe"),INDEX('Scheme cost allocation'!$D$21:$D$42,MATCH(IF(MONTH(E347)&lt;7,YEAR(E347),YEAR(E347)+1),'Scheme cost allocation'!$C$21:$C$42,0))*'Scheme cost allocation'!$J$21,'Scheme cost allocation'!$J$21),'Scheme cost allocation'!$J$21)</f>
        <v>0.90850599752846017</v>
      </c>
      <c r="K347" s="47"/>
      <c r="L347" s="169">
        <v>1</v>
      </c>
      <c r="M347" s="175" t="s">
        <v>242</v>
      </c>
      <c r="N347" s="169">
        <v>219200.99600397228</v>
      </c>
      <c r="O347" s="143">
        <f t="shared" si="16"/>
        <v>219200.99600397228</v>
      </c>
      <c r="P347" s="144">
        <f t="shared" si="17"/>
        <v>199145.41953382085</v>
      </c>
    </row>
    <row r="348" spans="3:16" x14ac:dyDescent="0.2">
      <c r="C348" s="145"/>
      <c r="D348" s="164" t="s">
        <v>434</v>
      </c>
      <c r="E348" s="137">
        <v>39164</v>
      </c>
      <c r="F348" s="172" t="str">
        <f t="shared" si="15"/>
        <v>2006-07</v>
      </c>
      <c r="H348" s="173" t="s">
        <v>190</v>
      </c>
      <c r="I348" s="174">
        <v>25184.239534746859</v>
      </c>
      <c r="J348" s="168">
        <f>IF(E348&lt;DATE(2016,1,1),IF(OR(M348="metres",M348="pipe"),INDEX('Scheme cost allocation'!$D$21:$D$42,MATCH(IF(MONTH(E348)&lt;7,YEAR(E348),YEAR(E348)+1),'Scheme cost allocation'!$C$21:$C$42,0))*'Scheme cost allocation'!$J$21,'Scheme cost allocation'!$J$21),'Scheme cost allocation'!$J$21)</f>
        <v>0.90850599752846017</v>
      </c>
      <c r="K348" s="47"/>
      <c r="L348" s="169">
        <v>1</v>
      </c>
      <c r="M348" s="175" t="s">
        <v>242</v>
      </c>
      <c r="N348" s="169">
        <v>2454892.6564738685</v>
      </c>
      <c r="O348" s="143">
        <f t="shared" si="16"/>
        <v>2454892.6564738685</v>
      </c>
      <c r="P348" s="144">
        <f t="shared" si="17"/>
        <v>2230284.7016950836</v>
      </c>
    </row>
    <row r="349" spans="3:16" x14ac:dyDescent="0.2">
      <c r="C349" s="145"/>
      <c r="D349" s="164" t="s">
        <v>435</v>
      </c>
      <c r="E349" s="137">
        <v>39164</v>
      </c>
      <c r="F349" s="172" t="str">
        <f t="shared" si="15"/>
        <v>2006-07</v>
      </c>
      <c r="H349" s="173" t="s">
        <v>190</v>
      </c>
      <c r="I349" s="174">
        <v>25184.239534746859</v>
      </c>
      <c r="J349" s="168">
        <f>IF(E349&lt;DATE(2016,1,1),IF(OR(M349="metres",M349="pipe"),INDEX('Scheme cost allocation'!$D$21:$D$42,MATCH(IF(MONTH(E349)&lt;7,YEAR(E349),YEAR(E349)+1),'Scheme cost allocation'!$C$21:$C$42,0))*'Scheme cost allocation'!$J$21,'Scheme cost allocation'!$J$21),'Scheme cost allocation'!$J$21)</f>
        <v>0.90850599752846017</v>
      </c>
      <c r="K349" s="47"/>
      <c r="L349" s="169">
        <v>1</v>
      </c>
      <c r="M349" s="175" t="s">
        <v>242</v>
      </c>
      <c r="N349" s="169">
        <v>3413292.2644404848</v>
      </c>
      <c r="O349" s="143">
        <f t="shared" si="16"/>
        <v>3413292.2644404848</v>
      </c>
      <c r="P349" s="144">
        <f t="shared" si="17"/>
        <v>3100996.4935616795</v>
      </c>
    </row>
    <row r="350" spans="3:16" x14ac:dyDescent="0.2">
      <c r="C350" s="145"/>
      <c r="D350" s="164" t="s">
        <v>436</v>
      </c>
      <c r="E350" s="137">
        <v>39164</v>
      </c>
      <c r="F350" s="172" t="str">
        <f t="shared" si="15"/>
        <v>2006-07</v>
      </c>
      <c r="H350" s="173" t="s">
        <v>190</v>
      </c>
      <c r="I350" s="174">
        <v>25184.239534746859</v>
      </c>
      <c r="J350" s="168">
        <f>IF(E350&lt;DATE(2016,1,1),IF(OR(M350="metres",M350="pipe"),INDEX('Scheme cost allocation'!$D$21:$D$42,MATCH(IF(MONTH(E350)&lt;7,YEAR(E350),YEAR(E350)+1),'Scheme cost allocation'!$C$21:$C$42,0))*'Scheme cost allocation'!$J$21,'Scheme cost allocation'!$J$21),'Scheme cost allocation'!$J$21)</f>
        <v>0.90850599752846017</v>
      </c>
      <c r="K350" s="47"/>
      <c r="L350" s="169">
        <v>1</v>
      </c>
      <c r="M350" s="175" t="s">
        <v>242</v>
      </c>
      <c r="N350" s="169">
        <v>3623104.9487885102</v>
      </c>
      <c r="O350" s="143">
        <f t="shared" si="16"/>
        <v>3623104.9487885102</v>
      </c>
      <c r="P350" s="144">
        <f t="shared" si="17"/>
        <v>3291612.5756494058</v>
      </c>
    </row>
    <row r="351" spans="3:16" x14ac:dyDescent="0.2">
      <c r="C351" s="145"/>
      <c r="D351" s="164" t="s">
        <v>437</v>
      </c>
      <c r="E351" s="137">
        <v>39164</v>
      </c>
      <c r="F351" s="172" t="str">
        <f t="shared" si="15"/>
        <v>2006-07</v>
      </c>
      <c r="H351" s="173" t="s">
        <v>190</v>
      </c>
      <c r="I351" s="174">
        <v>25184.239534746859</v>
      </c>
      <c r="J351" s="168">
        <f>IF(E351&lt;DATE(2016,1,1),IF(OR(M351="metres",M351="pipe"),INDEX('Scheme cost allocation'!$D$21:$D$42,MATCH(IF(MONTH(E351)&lt;7,YEAR(E351),YEAR(E351)+1),'Scheme cost allocation'!$C$21:$C$42,0))*'Scheme cost allocation'!$J$21,'Scheme cost allocation'!$J$21),'Scheme cost allocation'!$J$21)</f>
        <v>0.90850599752846017</v>
      </c>
      <c r="K351" s="47"/>
      <c r="L351" s="169">
        <v>1</v>
      </c>
      <c r="M351" s="175" t="s">
        <v>242</v>
      </c>
      <c r="N351" s="169">
        <v>4872083.7974162931</v>
      </c>
      <c r="O351" s="143">
        <f t="shared" si="16"/>
        <v>4872083.7974162931</v>
      </c>
      <c r="P351" s="144">
        <f t="shared" si="17"/>
        <v>4426317.3504139381</v>
      </c>
    </row>
    <row r="352" spans="3:16" x14ac:dyDescent="0.2">
      <c r="C352" s="145"/>
      <c r="D352" s="164" t="s">
        <v>438</v>
      </c>
      <c r="E352" s="137">
        <v>39164</v>
      </c>
      <c r="F352" s="172" t="str">
        <f t="shared" si="15"/>
        <v>2006-07</v>
      </c>
      <c r="H352" s="173" t="s">
        <v>190</v>
      </c>
      <c r="I352" s="174">
        <v>25184.239534746859</v>
      </c>
      <c r="J352" s="168">
        <f>IF(E352&lt;DATE(2016,1,1),IF(OR(M352="metres",M352="pipe"),INDEX('Scheme cost allocation'!$D$21:$D$42,MATCH(IF(MONTH(E352)&lt;7,YEAR(E352),YEAR(E352)+1),'Scheme cost allocation'!$C$21:$C$42,0))*'Scheme cost allocation'!$J$21,'Scheme cost allocation'!$J$21),'Scheme cost allocation'!$J$21)</f>
        <v>0.90850599752846017</v>
      </c>
      <c r="K352" s="47"/>
      <c r="L352" s="169">
        <v>1</v>
      </c>
      <c r="M352" s="175" t="s">
        <v>242</v>
      </c>
      <c r="N352" s="169">
        <v>9763197.2824161556</v>
      </c>
      <c r="O352" s="143">
        <f t="shared" si="16"/>
        <v>9763197.2824161556</v>
      </c>
      <c r="P352" s="144">
        <f t="shared" si="17"/>
        <v>8869923.2861286402</v>
      </c>
    </row>
    <row r="353" spans="3:16" x14ac:dyDescent="0.2">
      <c r="C353" s="145"/>
      <c r="D353" s="164" t="s">
        <v>439</v>
      </c>
      <c r="E353" s="137">
        <v>39196</v>
      </c>
      <c r="F353" s="172" t="str">
        <f t="shared" si="15"/>
        <v>2006-07</v>
      </c>
      <c r="H353" s="173" t="s">
        <v>190</v>
      </c>
      <c r="I353" s="174">
        <v>25184.239534746859</v>
      </c>
      <c r="J353" s="168">
        <f>IF(E353&lt;DATE(2016,1,1),IF(OR(M353="metres",M353="pipe"),INDEX('Scheme cost allocation'!$D$21:$D$42,MATCH(IF(MONTH(E353)&lt;7,YEAR(E353),YEAR(E353)+1),'Scheme cost allocation'!$C$21:$C$42,0))*'Scheme cost allocation'!$J$21,'Scheme cost allocation'!$J$21),'Scheme cost allocation'!$J$21)</f>
        <v>0.90850599752846017</v>
      </c>
      <c r="K353" s="47"/>
      <c r="L353" s="169">
        <v>1</v>
      </c>
      <c r="M353" s="175" t="s">
        <v>242</v>
      </c>
      <c r="N353" s="169">
        <v>2853328.4944318808</v>
      </c>
      <c r="O353" s="143">
        <f t="shared" si="16"/>
        <v>2853328.4944318808</v>
      </c>
      <c r="P353" s="144">
        <f t="shared" si="17"/>
        <v>2592266.0501102153</v>
      </c>
    </row>
    <row r="354" spans="3:16" x14ac:dyDescent="0.2">
      <c r="C354" s="145"/>
      <c r="D354" s="164" t="s">
        <v>440</v>
      </c>
      <c r="E354" s="137">
        <v>39202</v>
      </c>
      <c r="F354" s="172" t="str">
        <f t="shared" si="15"/>
        <v>2006-07</v>
      </c>
      <c r="H354" s="173" t="s">
        <v>190</v>
      </c>
      <c r="I354" s="174">
        <v>25184.239534746859</v>
      </c>
      <c r="J354" s="168">
        <f>IF(E354&lt;DATE(2016,1,1),IF(OR(M354="metres",M354="pipe"),INDEX('Scheme cost allocation'!$D$21:$D$42,MATCH(IF(MONTH(E354)&lt;7,YEAR(E354),YEAR(E354)+1),'Scheme cost allocation'!$C$21:$C$42,0))*'Scheme cost allocation'!$J$21,'Scheme cost allocation'!$J$21),'Scheme cost allocation'!$J$21)</f>
        <v>0.90850599752846017</v>
      </c>
      <c r="K354" s="47"/>
      <c r="L354" s="169">
        <v>1</v>
      </c>
      <c r="M354" s="175" t="s">
        <v>242</v>
      </c>
      <c r="N354" s="169">
        <v>2702796.2255169097</v>
      </c>
      <c r="O354" s="143">
        <f t="shared" si="16"/>
        <v>2702796.2255169097</v>
      </c>
      <c r="P354" s="144">
        <f t="shared" si="17"/>
        <v>2455506.5809793971</v>
      </c>
    </row>
    <row r="355" spans="3:16" x14ac:dyDescent="0.2">
      <c r="C355" s="145"/>
      <c r="D355" s="164" t="s">
        <v>441</v>
      </c>
      <c r="E355" s="137">
        <v>39234</v>
      </c>
      <c r="F355" s="172" t="str">
        <f t="shared" si="15"/>
        <v>2006-07</v>
      </c>
      <c r="H355" s="173" t="s">
        <v>190</v>
      </c>
      <c r="I355" s="174">
        <v>25184.239534746859</v>
      </c>
      <c r="J355" s="168">
        <f>IF(E355&lt;DATE(2016,1,1),IF(OR(M355="metres",M355="pipe"),INDEX('Scheme cost allocation'!$D$21:$D$42,MATCH(IF(MONTH(E355)&lt;7,YEAR(E355),YEAR(E355)+1),'Scheme cost allocation'!$C$21:$C$42,0))*'Scheme cost allocation'!$J$21,'Scheme cost allocation'!$J$21),'Scheme cost allocation'!$J$21)</f>
        <v>0.90850599752846017</v>
      </c>
      <c r="K355" s="47"/>
      <c r="L355" s="169">
        <v>1</v>
      </c>
      <c r="M355" s="175" t="s">
        <v>242</v>
      </c>
      <c r="N355" s="169">
        <v>647864.17000270227</v>
      </c>
      <c r="O355" s="143">
        <f t="shared" si="16"/>
        <v>647864.17000270227</v>
      </c>
      <c r="P355" s="144">
        <f t="shared" si="17"/>
        <v>588588.48403125291</v>
      </c>
    </row>
    <row r="356" spans="3:16" x14ac:dyDescent="0.2">
      <c r="C356" s="145"/>
      <c r="D356" s="164" t="s">
        <v>442</v>
      </c>
      <c r="E356" s="137">
        <v>39268</v>
      </c>
      <c r="F356" s="172" t="str">
        <f t="shared" si="15"/>
        <v>2007-08</v>
      </c>
      <c r="H356" s="173" t="s">
        <v>190</v>
      </c>
      <c r="I356" s="174">
        <v>25184.239534746859</v>
      </c>
      <c r="J356" s="168">
        <f>IF(E356&lt;DATE(2016,1,1),IF(OR(M356="metres",M356="pipe"),INDEX('Scheme cost allocation'!$D$21:$D$42,MATCH(IF(MONTH(E356)&lt;7,YEAR(E356),YEAR(E356)+1),'Scheme cost allocation'!$C$21:$C$42,0))*'Scheme cost allocation'!$J$21,'Scheme cost allocation'!$J$21),'Scheme cost allocation'!$J$21)</f>
        <v>0.90850599752846017</v>
      </c>
      <c r="K356" s="47"/>
      <c r="L356" s="169">
        <v>1</v>
      </c>
      <c r="M356" s="175" t="s">
        <v>242</v>
      </c>
      <c r="N356" s="169">
        <v>585932.91646242351</v>
      </c>
      <c r="O356" s="143">
        <f t="shared" si="16"/>
        <v>585932.91646242351</v>
      </c>
      <c r="P356" s="144">
        <f t="shared" si="17"/>
        <v>532323.56875545403</v>
      </c>
    </row>
    <row r="357" spans="3:16" x14ac:dyDescent="0.2">
      <c r="C357" s="145"/>
      <c r="D357" s="164" t="s">
        <v>443</v>
      </c>
      <c r="E357" s="137">
        <v>39286</v>
      </c>
      <c r="F357" s="172" t="str">
        <f t="shared" si="15"/>
        <v>2007-08</v>
      </c>
      <c r="H357" s="173" t="s">
        <v>190</v>
      </c>
      <c r="I357" s="174">
        <v>25184.239534746859</v>
      </c>
      <c r="J357" s="168">
        <f>IF(E357&lt;DATE(2016,1,1),IF(OR(M357="metres",M357="pipe"),INDEX('Scheme cost allocation'!$D$21:$D$42,MATCH(IF(MONTH(E357)&lt;7,YEAR(E357),YEAR(E357)+1),'Scheme cost allocation'!$C$21:$C$42,0))*'Scheme cost allocation'!$J$21,'Scheme cost allocation'!$J$21),'Scheme cost allocation'!$J$21)</f>
        <v>0.90850599752846017</v>
      </c>
      <c r="K357" s="47"/>
      <c r="L357" s="169">
        <v>1</v>
      </c>
      <c r="M357" s="175" t="s">
        <v>242</v>
      </c>
      <c r="N357" s="169">
        <v>26472.063420158549</v>
      </c>
      <c r="O357" s="143">
        <f t="shared" si="16"/>
        <v>26472.063420158549</v>
      </c>
      <c r="P357" s="144">
        <f t="shared" si="17"/>
        <v>24050.028384167803</v>
      </c>
    </row>
    <row r="358" spans="3:16" x14ac:dyDescent="0.2">
      <c r="C358" s="145"/>
      <c r="D358" s="164" t="s">
        <v>444</v>
      </c>
      <c r="E358" s="137">
        <v>39423</v>
      </c>
      <c r="F358" s="172" t="str">
        <f t="shared" si="15"/>
        <v>2007-08</v>
      </c>
      <c r="H358" s="173" t="s">
        <v>190</v>
      </c>
      <c r="I358" s="174">
        <v>25184.239534746859</v>
      </c>
      <c r="J358" s="168">
        <f>IF(E358&lt;DATE(2016,1,1),IF(OR(M358="metres",M358="pipe"),INDEX('Scheme cost allocation'!$D$21:$D$42,MATCH(IF(MONTH(E358)&lt;7,YEAR(E358),YEAR(E358)+1),'Scheme cost allocation'!$C$21:$C$42,0))*'Scheme cost allocation'!$J$21,'Scheme cost allocation'!$J$21),'Scheme cost allocation'!$J$21)</f>
        <v>0.90850599752846017</v>
      </c>
      <c r="K358" s="47"/>
      <c r="L358" s="169">
        <v>1</v>
      </c>
      <c r="M358" s="175" t="s">
        <v>242</v>
      </c>
      <c r="N358" s="169">
        <v>228439.38342654321</v>
      </c>
      <c r="O358" s="143">
        <f t="shared" si="16"/>
        <v>228439.38342654321</v>
      </c>
      <c r="P358" s="144">
        <f t="shared" si="17"/>
        <v>207538.54991471802</v>
      </c>
    </row>
    <row r="359" spans="3:16" x14ac:dyDescent="0.2">
      <c r="C359" s="145"/>
      <c r="D359" s="164" t="s">
        <v>445</v>
      </c>
      <c r="E359" s="137">
        <v>39423</v>
      </c>
      <c r="F359" s="172" t="str">
        <f t="shared" si="15"/>
        <v>2007-08</v>
      </c>
      <c r="H359" s="173" t="s">
        <v>190</v>
      </c>
      <c r="I359" s="174">
        <v>25184.239534746859</v>
      </c>
      <c r="J359" s="168">
        <f>IF(E359&lt;DATE(2016,1,1),IF(OR(M359="metres",M359="pipe"),INDEX('Scheme cost allocation'!$D$21:$D$42,MATCH(IF(MONTH(E359)&lt;7,YEAR(E359),YEAR(E359)+1),'Scheme cost allocation'!$C$21:$C$42,0))*'Scheme cost allocation'!$J$21,'Scheme cost allocation'!$J$21),'Scheme cost allocation'!$J$21)</f>
        <v>0.90850599752846017</v>
      </c>
      <c r="K359" s="47"/>
      <c r="L359" s="169">
        <v>1</v>
      </c>
      <c r="M359" s="175" t="s">
        <v>242</v>
      </c>
      <c r="N359" s="169">
        <v>707907.55775489344</v>
      </c>
      <c r="O359" s="143">
        <f t="shared" si="16"/>
        <v>707907.55775489344</v>
      </c>
      <c r="P359" s="144">
        <f t="shared" si="17"/>
        <v>643138.26191604545</v>
      </c>
    </row>
    <row r="360" spans="3:16" x14ac:dyDescent="0.2">
      <c r="C360" s="145"/>
      <c r="D360" s="164" t="s">
        <v>446</v>
      </c>
      <c r="E360" s="137">
        <v>39423</v>
      </c>
      <c r="F360" s="172" t="str">
        <f t="shared" si="15"/>
        <v>2007-08</v>
      </c>
      <c r="H360" s="173" t="s">
        <v>190</v>
      </c>
      <c r="I360" s="174">
        <v>25184.239534746859</v>
      </c>
      <c r="J360" s="168">
        <f>IF(E360&lt;DATE(2016,1,1),IF(OR(M360="metres",M360="pipe"),INDEX('Scheme cost allocation'!$D$21:$D$42,MATCH(IF(MONTH(E360)&lt;7,YEAR(E360),YEAR(E360)+1),'Scheme cost allocation'!$C$21:$C$42,0))*'Scheme cost allocation'!$J$21,'Scheme cost allocation'!$J$21),'Scheme cost allocation'!$J$21)</f>
        <v>0.90850599752846017</v>
      </c>
      <c r="K360" s="47"/>
      <c r="L360" s="169">
        <v>1</v>
      </c>
      <c r="M360" s="175" t="s">
        <v>242</v>
      </c>
      <c r="N360" s="169">
        <v>1997441.2419493152</v>
      </c>
      <c r="O360" s="143">
        <f t="shared" si="16"/>
        <v>1997441.2419493152</v>
      </c>
      <c r="P360" s="144">
        <f t="shared" si="17"/>
        <v>1814687.3480216491</v>
      </c>
    </row>
    <row r="361" spans="3:16" x14ac:dyDescent="0.2">
      <c r="C361" s="145"/>
      <c r="D361" s="164" t="s">
        <v>447</v>
      </c>
      <c r="E361" s="137">
        <v>39423</v>
      </c>
      <c r="F361" s="172" t="str">
        <f t="shared" ref="F361:F424" si="18">IF(E361="","-",IF(OR(E361&lt;$E$15,E361&gt;$E$16),"ERROR - date outside of range",IF(MONTH(E361)&gt;=7,YEAR(E361)&amp;"-"&amp;IF(YEAR(E361)=1999,"00",IF(AND(YEAR(E361)&gt;=2000,YEAR(E361)&lt;2009),"0","")&amp;RIGHT(YEAR(E361),2)+1),RIGHT(YEAR(E361),4)-1&amp;"-"&amp;RIGHT(YEAR(E361),2))))</f>
        <v>2007-08</v>
      </c>
      <c r="H361" s="173" t="s">
        <v>190</v>
      </c>
      <c r="I361" s="174">
        <v>25184.239534746859</v>
      </c>
      <c r="J361" s="168">
        <f>IF(E361&lt;DATE(2016,1,1),IF(OR(M361="metres",M361="pipe"),INDEX('Scheme cost allocation'!$D$21:$D$42,MATCH(IF(MONTH(E361)&lt;7,YEAR(E361),YEAR(E361)+1),'Scheme cost allocation'!$C$21:$C$42,0))*'Scheme cost allocation'!$J$21,'Scheme cost allocation'!$J$21),'Scheme cost allocation'!$J$21)</f>
        <v>0.90850599752846017</v>
      </c>
      <c r="K361" s="47"/>
      <c r="L361" s="169">
        <v>1</v>
      </c>
      <c r="M361" s="175" t="s">
        <v>242</v>
      </c>
      <c r="N361" s="169">
        <v>2128211.4083642759</v>
      </c>
      <c r="O361" s="143">
        <f t="shared" si="16"/>
        <v>2128211.4083642759</v>
      </c>
      <c r="P361" s="144">
        <f t="shared" si="17"/>
        <v>1933492.8285074355</v>
      </c>
    </row>
    <row r="362" spans="3:16" x14ac:dyDescent="0.2">
      <c r="C362" s="145"/>
      <c r="D362" s="164" t="s">
        <v>448</v>
      </c>
      <c r="E362" s="137">
        <v>39423</v>
      </c>
      <c r="F362" s="172" t="str">
        <f t="shared" si="18"/>
        <v>2007-08</v>
      </c>
      <c r="H362" s="173" t="s">
        <v>190</v>
      </c>
      <c r="I362" s="174">
        <v>25184.239534746859</v>
      </c>
      <c r="J362" s="168">
        <f>IF(E362&lt;DATE(2016,1,1),IF(OR(M362="metres",M362="pipe"),INDEX('Scheme cost allocation'!$D$21:$D$42,MATCH(IF(MONTH(E362)&lt;7,YEAR(E362),YEAR(E362)+1),'Scheme cost allocation'!$C$21:$C$42,0))*'Scheme cost allocation'!$J$21,'Scheme cost allocation'!$J$21),'Scheme cost allocation'!$J$21)</f>
        <v>0.90850599752846017</v>
      </c>
      <c r="K362" s="47"/>
      <c r="L362" s="169">
        <v>1</v>
      </c>
      <c r="M362" s="175" t="s">
        <v>242</v>
      </c>
      <c r="N362" s="169">
        <v>3247190.112741706</v>
      </c>
      <c r="O362" s="143">
        <f t="shared" si="16"/>
        <v>3247190.112741706</v>
      </c>
      <c r="P362" s="144">
        <f t="shared" si="17"/>
        <v>2950091.6925409567</v>
      </c>
    </row>
    <row r="363" spans="3:16" x14ac:dyDescent="0.2">
      <c r="C363" s="145"/>
      <c r="D363" s="164" t="s">
        <v>449</v>
      </c>
      <c r="E363" s="137">
        <v>39423</v>
      </c>
      <c r="F363" s="172" t="str">
        <f t="shared" si="18"/>
        <v>2007-08</v>
      </c>
      <c r="H363" s="173" t="s">
        <v>190</v>
      </c>
      <c r="I363" s="174">
        <v>25184.239534746859</v>
      </c>
      <c r="J363" s="168">
        <f>IF(E363&lt;DATE(2016,1,1),IF(OR(M363="metres",M363="pipe"),INDEX('Scheme cost allocation'!$D$21:$D$42,MATCH(IF(MONTH(E363)&lt;7,YEAR(E363),YEAR(E363)+1),'Scheme cost allocation'!$C$21:$C$42,0))*'Scheme cost allocation'!$J$21,'Scheme cost allocation'!$J$21),'Scheme cost allocation'!$J$21)</f>
        <v>0.90850599752846017</v>
      </c>
      <c r="K363" s="47"/>
      <c r="L363" s="169">
        <v>1</v>
      </c>
      <c r="M363" s="175" t="s">
        <v>242</v>
      </c>
      <c r="N363" s="169">
        <v>5062275.6919411896</v>
      </c>
      <c r="O363" s="143">
        <f t="shared" si="16"/>
        <v>5062275.6919411896</v>
      </c>
      <c r="P363" s="144">
        <f t="shared" si="17"/>
        <v>4599107.8272711067</v>
      </c>
    </row>
    <row r="364" spans="3:16" x14ac:dyDescent="0.2">
      <c r="C364" s="145"/>
      <c r="D364" s="164" t="s">
        <v>450</v>
      </c>
      <c r="E364" s="137">
        <v>39426</v>
      </c>
      <c r="F364" s="172" t="str">
        <f t="shared" si="18"/>
        <v>2007-08</v>
      </c>
      <c r="H364" s="173" t="s">
        <v>190</v>
      </c>
      <c r="I364" s="174">
        <v>25184.239534746859</v>
      </c>
      <c r="J364" s="168">
        <f>IF(E364&lt;DATE(2016,1,1),IF(OR(M364="metres",M364="pipe"),INDEX('Scheme cost allocation'!$D$21:$D$42,MATCH(IF(MONTH(E364)&lt;7,YEAR(E364),YEAR(E364)+1),'Scheme cost allocation'!$C$21:$C$42,0))*'Scheme cost allocation'!$J$21,'Scheme cost allocation'!$J$21),'Scheme cost allocation'!$J$21)</f>
        <v>0.90850599752846017</v>
      </c>
      <c r="K364" s="47"/>
      <c r="L364" s="169">
        <v>1</v>
      </c>
      <c r="M364" s="175" t="s">
        <v>242</v>
      </c>
      <c r="N364" s="169">
        <v>43602.571456801343</v>
      </c>
      <c r="O364" s="143">
        <f t="shared" si="16"/>
        <v>43602.571456801343</v>
      </c>
      <c r="P364" s="144">
        <f t="shared" si="17"/>
        <v>39613.19767616727</v>
      </c>
    </row>
    <row r="365" spans="3:16" x14ac:dyDescent="0.2">
      <c r="C365" s="145"/>
      <c r="D365" s="164" t="s">
        <v>451</v>
      </c>
      <c r="E365" s="137">
        <v>39535</v>
      </c>
      <c r="F365" s="172" t="str">
        <f t="shared" si="18"/>
        <v>2007-08</v>
      </c>
      <c r="H365" s="173" t="s">
        <v>190</v>
      </c>
      <c r="I365" s="174">
        <v>25184.239534746859</v>
      </c>
      <c r="J365" s="168">
        <f>IF(E365&lt;DATE(2016,1,1),IF(OR(M365="metres",M365="pipe"),INDEX('Scheme cost allocation'!$D$21:$D$42,MATCH(IF(MONTH(E365)&lt;7,YEAR(E365),YEAR(E365)+1),'Scheme cost allocation'!$C$21:$C$42,0))*'Scheme cost allocation'!$J$21,'Scheme cost allocation'!$J$21),'Scheme cost allocation'!$J$21)</f>
        <v>0.90850599752846017</v>
      </c>
      <c r="K365" s="47"/>
      <c r="L365" s="169">
        <v>1</v>
      </c>
      <c r="M365" s="175" t="s">
        <v>242</v>
      </c>
      <c r="N365" s="169">
        <v>297649.89794514945</v>
      </c>
      <c r="O365" s="143">
        <f t="shared" si="16"/>
        <v>297649.89794514945</v>
      </c>
      <c r="P365" s="144">
        <f t="shared" si="17"/>
        <v>270416.71744690236</v>
      </c>
    </row>
    <row r="366" spans="3:16" x14ac:dyDescent="0.2">
      <c r="C366" s="145"/>
      <c r="D366" s="164" t="s">
        <v>452</v>
      </c>
      <c r="E366" s="137">
        <v>39561</v>
      </c>
      <c r="F366" s="172" t="str">
        <f t="shared" si="18"/>
        <v>2007-08</v>
      </c>
      <c r="H366" s="173" t="s">
        <v>190</v>
      </c>
      <c r="I366" s="174">
        <v>25184.239534746859</v>
      </c>
      <c r="J366" s="168">
        <f>IF(E366&lt;DATE(2016,1,1),IF(OR(M366="metres",M366="pipe"),INDEX('Scheme cost allocation'!$D$21:$D$42,MATCH(IF(MONTH(E366)&lt;7,YEAR(E366),YEAR(E366)+1),'Scheme cost allocation'!$C$21:$C$42,0))*'Scheme cost allocation'!$J$21,'Scheme cost allocation'!$J$21),'Scheme cost allocation'!$J$21)</f>
        <v>0.90850599752846017</v>
      </c>
      <c r="K366" s="47"/>
      <c r="L366" s="169">
        <v>1</v>
      </c>
      <c r="M366" s="175" t="s">
        <v>242</v>
      </c>
      <c r="N366" s="169">
        <v>83478.437361975986</v>
      </c>
      <c r="O366" s="143">
        <f t="shared" si="16"/>
        <v>83478.437361975986</v>
      </c>
      <c r="P366" s="144">
        <f t="shared" si="17"/>
        <v>75840.661007659073</v>
      </c>
    </row>
    <row r="367" spans="3:16" x14ac:dyDescent="0.2">
      <c r="C367" s="145"/>
      <c r="D367" s="164" t="s">
        <v>453</v>
      </c>
      <c r="E367" s="137">
        <v>39570</v>
      </c>
      <c r="F367" s="172" t="str">
        <f t="shared" si="18"/>
        <v>2007-08</v>
      </c>
      <c r="H367" s="173" t="s">
        <v>190</v>
      </c>
      <c r="I367" s="174">
        <v>25184.239534746859</v>
      </c>
      <c r="J367" s="168">
        <f>IF(E367&lt;DATE(2016,1,1),IF(OR(M367="metres",M367="pipe"),INDEX('Scheme cost allocation'!$D$21:$D$42,MATCH(IF(MONTH(E367)&lt;7,YEAR(E367),YEAR(E367)+1),'Scheme cost allocation'!$C$21:$C$42,0))*'Scheme cost allocation'!$J$21,'Scheme cost allocation'!$J$21),'Scheme cost allocation'!$J$21)</f>
        <v>0.90850599752846017</v>
      </c>
      <c r="K367" s="47"/>
      <c r="L367" s="169">
        <v>1</v>
      </c>
      <c r="M367" s="175" t="s">
        <v>242</v>
      </c>
      <c r="N367" s="169">
        <v>3702137.6146906004</v>
      </c>
      <c r="O367" s="143">
        <f t="shared" si="16"/>
        <v>3702137.6146906004</v>
      </c>
      <c r="P367" s="144">
        <f t="shared" si="17"/>
        <v>3363414.2266221181</v>
      </c>
    </row>
    <row r="368" spans="3:16" x14ac:dyDescent="0.2">
      <c r="C368" s="145"/>
      <c r="D368" s="164" t="s">
        <v>454</v>
      </c>
      <c r="E368" s="137">
        <v>39633</v>
      </c>
      <c r="F368" s="172" t="str">
        <f t="shared" si="18"/>
        <v>2008-09</v>
      </c>
      <c r="H368" s="173" t="s">
        <v>190</v>
      </c>
      <c r="I368" s="174">
        <v>25184.239534746859</v>
      </c>
      <c r="J368" s="168">
        <f>IF(E368&lt;DATE(2016,1,1),IF(OR(M368="metres",M368="pipe"),INDEX('Scheme cost allocation'!$D$21:$D$42,MATCH(IF(MONTH(E368)&lt;7,YEAR(E368),YEAR(E368)+1),'Scheme cost allocation'!$C$21:$C$42,0))*'Scheme cost allocation'!$J$21,'Scheme cost allocation'!$J$21),'Scheme cost allocation'!$J$21)</f>
        <v>0.90850599752846017</v>
      </c>
      <c r="K368" s="47"/>
      <c r="L368" s="169">
        <v>1</v>
      </c>
      <c r="M368" s="175" t="s">
        <v>242</v>
      </c>
      <c r="N368" s="169">
        <v>21275.635922330097</v>
      </c>
      <c r="O368" s="143">
        <f t="shared" si="16"/>
        <v>21275.635922330097</v>
      </c>
      <c r="P368" s="144">
        <f t="shared" si="17"/>
        <v>19329.042836668847</v>
      </c>
    </row>
    <row r="369" spans="3:16" x14ac:dyDescent="0.2">
      <c r="C369" s="145"/>
      <c r="D369" s="164" t="s">
        <v>455</v>
      </c>
      <c r="E369" s="137">
        <v>39693</v>
      </c>
      <c r="F369" s="172" t="str">
        <f t="shared" si="18"/>
        <v>2008-09</v>
      </c>
      <c r="H369" s="173" t="s">
        <v>190</v>
      </c>
      <c r="I369" s="174">
        <v>25184.239534746859</v>
      </c>
      <c r="J369" s="168">
        <f>IF(E369&lt;DATE(2016,1,1),IF(OR(M369="metres",M369="pipe"),INDEX('Scheme cost allocation'!$D$21:$D$42,MATCH(IF(MONTH(E369)&lt;7,YEAR(E369),YEAR(E369)+1),'Scheme cost allocation'!$C$21:$C$42,0))*'Scheme cost allocation'!$J$21,'Scheme cost allocation'!$J$21),'Scheme cost allocation'!$J$21)</f>
        <v>0.90850599752846017</v>
      </c>
      <c r="K369" s="47"/>
      <c r="L369" s="169">
        <v>1</v>
      </c>
      <c r="M369" s="175" t="s">
        <v>242</v>
      </c>
      <c r="N369" s="169">
        <v>684630.81590825238</v>
      </c>
      <c r="O369" s="143">
        <f t="shared" si="16"/>
        <v>684630.81590825238</v>
      </c>
      <c r="P369" s="144">
        <f t="shared" si="17"/>
        <v>621991.20234545041</v>
      </c>
    </row>
    <row r="370" spans="3:16" x14ac:dyDescent="0.2">
      <c r="C370" s="145"/>
      <c r="D370" s="164" t="s">
        <v>456</v>
      </c>
      <c r="E370" s="137">
        <v>39695</v>
      </c>
      <c r="F370" s="172" t="str">
        <f t="shared" si="18"/>
        <v>2008-09</v>
      </c>
      <c r="H370" s="173" t="s">
        <v>190</v>
      </c>
      <c r="I370" s="174">
        <v>25184.239534746859</v>
      </c>
      <c r="J370" s="168">
        <f>IF(E370&lt;DATE(2016,1,1),IF(OR(M370="metres",M370="pipe"),INDEX('Scheme cost allocation'!$D$21:$D$42,MATCH(IF(MONTH(E370)&lt;7,YEAR(E370),YEAR(E370)+1),'Scheme cost allocation'!$C$21:$C$42,0))*'Scheme cost allocation'!$J$21,'Scheme cost allocation'!$J$21),'Scheme cost allocation'!$J$21)</f>
        <v>0.90850599752846017</v>
      </c>
      <c r="K370" s="47"/>
      <c r="L370" s="169">
        <v>1</v>
      </c>
      <c r="M370" s="175" t="s">
        <v>242</v>
      </c>
      <c r="N370" s="169">
        <v>1501608.4113625027</v>
      </c>
      <c r="O370" s="143">
        <f t="shared" si="16"/>
        <v>1501608.4113625027</v>
      </c>
      <c r="P370" s="144">
        <f t="shared" si="17"/>
        <v>1364220.2476620169</v>
      </c>
    </row>
    <row r="371" spans="3:16" x14ac:dyDescent="0.2">
      <c r="C371" s="145"/>
      <c r="D371" s="164" t="s">
        <v>457</v>
      </c>
      <c r="E371" s="137">
        <v>39700</v>
      </c>
      <c r="F371" s="172" t="str">
        <f t="shared" si="18"/>
        <v>2008-09</v>
      </c>
      <c r="H371" s="173" t="s">
        <v>190</v>
      </c>
      <c r="I371" s="174">
        <v>25184.239534746859</v>
      </c>
      <c r="J371" s="168">
        <f>IF(E371&lt;DATE(2016,1,1),IF(OR(M371="metres",M371="pipe"),INDEX('Scheme cost allocation'!$D$21:$D$42,MATCH(IF(MONTH(E371)&lt;7,YEAR(E371),YEAR(E371)+1),'Scheme cost allocation'!$C$21:$C$42,0))*'Scheme cost allocation'!$J$21,'Scheme cost allocation'!$J$21),'Scheme cost allocation'!$J$21)</f>
        <v>0.90850599752846017</v>
      </c>
      <c r="K371" s="47"/>
      <c r="L371" s="169">
        <v>1</v>
      </c>
      <c r="M371" s="175" t="s">
        <v>242</v>
      </c>
      <c r="N371" s="169">
        <v>688795.00944881327</v>
      </c>
      <c r="O371" s="143">
        <f t="shared" si="16"/>
        <v>688795.00944881327</v>
      </c>
      <c r="P371" s="144">
        <f t="shared" si="17"/>
        <v>625774.3971519192</v>
      </c>
    </row>
    <row r="372" spans="3:16" x14ac:dyDescent="0.2">
      <c r="C372" s="145"/>
      <c r="D372" s="164" t="s">
        <v>458</v>
      </c>
      <c r="E372" s="137">
        <v>39763</v>
      </c>
      <c r="F372" s="172" t="str">
        <f t="shared" si="18"/>
        <v>2008-09</v>
      </c>
      <c r="H372" s="173" t="s">
        <v>190</v>
      </c>
      <c r="I372" s="174">
        <v>25184.239534746859</v>
      </c>
      <c r="J372" s="168">
        <f>IF(E372&lt;DATE(2016,1,1),IF(OR(M372="metres",M372="pipe"),INDEX('Scheme cost allocation'!$D$21:$D$42,MATCH(IF(MONTH(E372)&lt;7,YEAR(E372),YEAR(E372)+1),'Scheme cost allocation'!$C$21:$C$42,0))*'Scheme cost allocation'!$J$21,'Scheme cost allocation'!$J$21),'Scheme cost allocation'!$J$21)</f>
        <v>0.90850599752846017</v>
      </c>
      <c r="K372" s="47"/>
      <c r="L372" s="169">
        <v>1</v>
      </c>
      <c r="M372" s="175" t="s">
        <v>242</v>
      </c>
      <c r="N372" s="169">
        <v>187178.15712804109</v>
      </c>
      <c r="O372" s="143">
        <f t="shared" si="16"/>
        <v>187178.15712804109</v>
      </c>
      <c r="P372" s="144">
        <f t="shared" si="17"/>
        <v>170052.47835714981</v>
      </c>
    </row>
    <row r="373" spans="3:16" x14ac:dyDescent="0.2">
      <c r="C373" s="145"/>
      <c r="D373" s="164" t="s">
        <v>459</v>
      </c>
      <c r="E373" s="137">
        <v>39780</v>
      </c>
      <c r="F373" s="172" t="str">
        <f t="shared" si="18"/>
        <v>2008-09</v>
      </c>
      <c r="H373" s="173" t="s">
        <v>190</v>
      </c>
      <c r="I373" s="174">
        <v>25184.239534746859</v>
      </c>
      <c r="J373" s="168">
        <f>IF(E373&lt;DATE(2016,1,1),IF(OR(M373="metres",M373="pipe"),INDEX('Scheme cost allocation'!$D$21:$D$42,MATCH(IF(MONTH(E373)&lt;7,YEAR(E373),YEAR(E373)+1),'Scheme cost allocation'!$C$21:$C$42,0))*'Scheme cost allocation'!$J$21,'Scheme cost allocation'!$J$21),'Scheme cost allocation'!$J$21)</f>
        <v>0.90850599752846017</v>
      </c>
      <c r="K373" s="47"/>
      <c r="L373" s="169">
        <v>1</v>
      </c>
      <c r="M373" s="175" t="s">
        <v>242</v>
      </c>
      <c r="N373" s="169">
        <v>272148.67551871203</v>
      </c>
      <c r="O373" s="143">
        <f t="shared" si="16"/>
        <v>272148.67551871203</v>
      </c>
      <c r="P373" s="144">
        <f t="shared" si="17"/>
        <v>247248.70392817669</v>
      </c>
    </row>
    <row r="374" spans="3:16" x14ac:dyDescent="0.2">
      <c r="C374" s="145"/>
      <c r="D374" s="164" t="s">
        <v>460</v>
      </c>
      <c r="E374" s="137">
        <v>39870</v>
      </c>
      <c r="F374" s="172" t="str">
        <f t="shared" si="18"/>
        <v>2008-09</v>
      </c>
      <c r="H374" s="173" t="s">
        <v>190</v>
      </c>
      <c r="I374" s="174">
        <v>25184.239534746859</v>
      </c>
      <c r="J374" s="168">
        <f>IF(E374&lt;DATE(2016,1,1),IF(OR(M374="metres",M374="pipe"),INDEX('Scheme cost allocation'!$D$21:$D$42,MATCH(IF(MONTH(E374)&lt;7,YEAR(E374),YEAR(E374)+1),'Scheme cost allocation'!$C$21:$C$42,0))*'Scheme cost allocation'!$J$21,'Scheme cost allocation'!$J$21),'Scheme cost allocation'!$J$21)</f>
        <v>0.90850599752846017</v>
      </c>
      <c r="K374" s="47"/>
      <c r="L374" s="169">
        <v>1</v>
      </c>
      <c r="M374" s="175" t="s">
        <v>242</v>
      </c>
      <c r="N374" s="169">
        <v>307019.9370464973</v>
      </c>
      <c r="O374" s="143">
        <f t="shared" si="16"/>
        <v>307019.9370464973</v>
      </c>
      <c r="P374" s="144">
        <f t="shared" si="17"/>
        <v>278929.45416755305</v>
      </c>
    </row>
    <row r="375" spans="3:16" x14ac:dyDescent="0.2">
      <c r="C375" s="145"/>
      <c r="D375" s="164" t="s">
        <v>461</v>
      </c>
      <c r="E375" s="137">
        <v>39910</v>
      </c>
      <c r="F375" s="172" t="str">
        <f t="shared" si="18"/>
        <v>2008-09</v>
      </c>
      <c r="H375" s="173" t="s">
        <v>190</v>
      </c>
      <c r="I375" s="174">
        <v>25184.239534746859</v>
      </c>
      <c r="J375" s="168">
        <f>IF(E375&lt;DATE(2016,1,1),IF(OR(M375="metres",M375="pipe"),INDEX('Scheme cost allocation'!$D$21:$D$42,MATCH(IF(MONTH(E375)&lt;7,YEAR(E375),YEAR(E375)+1),'Scheme cost allocation'!$C$21:$C$42,0))*'Scheme cost allocation'!$J$21,'Scheme cost allocation'!$J$21),'Scheme cost allocation'!$J$21)</f>
        <v>0.90850599752846017</v>
      </c>
      <c r="K375" s="47"/>
      <c r="L375" s="169">
        <v>1</v>
      </c>
      <c r="M375" s="175" t="s">
        <v>242</v>
      </c>
      <c r="N375" s="169">
        <v>939224.22838229255</v>
      </c>
      <c r="O375" s="143">
        <f t="shared" si="16"/>
        <v>939224.22838229255</v>
      </c>
      <c r="P375" s="144">
        <f t="shared" si="17"/>
        <v>853290.84450935305</v>
      </c>
    </row>
    <row r="376" spans="3:16" x14ac:dyDescent="0.2">
      <c r="C376" s="145"/>
      <c r="D376" s="164" t="s">
        <v>462</v>
      </c>
      <c r="E376" s="137">
        <v>39981</v>
      </c>
      <c r="F376" s="172" t="str">
        <f t="shared" si="18"/>
        <v>2008-09</v>
      </c>
      <c r="H376" s="173" t="s">
        <v>190</v>
      </c>
      <c r="I376" s="174">
        <v>25184.239534746859</v>
      </c>
      <c r="J376" s="168">
        <f>IF(E376&lt;DATE(2016,1,1),IF(OR(M376="metres",M376="pipe"),INDEX('Scheme cost allocation'!$D$21:$D$42,MATCH(IF(MONTH(E376)&lt;7,YEAR(E376),YEAR(E376)+1),'Scheme cost allocation'!$C$21:$C$42,0))*'Scheme cost allocation'!$J$21,'Scheme cost allocation'!$J$21),'Scheme cost allocation'!$J$21)</f>
        <v>0.90850599752846017</v>
      </c>
      <c r="K376" s="47"/>
      <c r="L376" s="169">
        <v>1</v>
      </c>
      <c r="M376" s="175" t="s">
        <v>242</v>
      </c>
      <c r="N376" s="169">
        <v>237710.2942659526</v>
      </c>
      <c r="O376" s="143">
        <f t="shared" si="16"/>
        <v>237710.2942659526</v>
      </c>
      <c r="P376" s="144">
        <f t="shared" si="17"/>
        <v>215961.22801487308</v>
      </c>
    </row>
    <row r="377" spans="3:16" x14ac:dyDescent="0.2">
      <c r="C377" s="145"/>
      <c r="D377" s="164" t="s">
        <v>463</v>
      </c>
      <c r="E377" s="137">
        <v>39981</v>
      </c>
      <c r="F377" s="172" t="str">
        <f t="shared" si="18"/>
        <v>2008-09</v>
      </c>
      <c r="H377" s="173" t="s">
        <v>190</v>
      </c>
      <c r="I377" s="174">
        <v>25184.239534746859</v>
      </c>
      <c r="J377" s="168">
        <f>IF(E377&lt;DATE(2016,1,1),IF(OR(M377="metres",M377="pipe"),INDEX('Scheme cost allocation'!$D$21:$D$42,MATCH(IF(MONTH(E377)&lt;7,YEAR(E377),YEAR(E377)+1),'Scheme cost allocation'!$C$21:$C$42,0))*'Scheme cost allocation'!$J$21,'Scheme cost allocation'!$J$21),'Scheme cost allocation'!$J$21)</f>
        <v>0.90850599752846017</v>
      </c>
      <c r="K377" s="47"/>
      <c r="L377" s="169">
        <v>1</v>
      </c>
      <c r="M377" s="175" t="s">
        <v>242</v>
      </c>
      <c r="N377" s="169">
        <v>3395471.7196945739</v>
      </c>
      <c r="O377" s="143">
        <f t="shared" si="16"/>
        <v>3395471.7196945739</v>
      </c>
      <c r="P377" s="144">
        <f t="shared" si="17"/>
        <v>3084806.4217807949</v>
      </c>
    </row>
    <row r="378" spans="3:16" x14ac:dyDescent="0.2">
      <c r="C378" s="145"/>
      <c r="D378" s="164" t="s">
        <v>464</v>
      </c>
      <c r="E378" s="137">
        <v>39983</v>
      </c>
      <c r="F378" s="172" t="str">
        <f t="shared" si="18"/>
        <v>2008-09</v>
      </c>
      <c r="H378" s="173" t="s">
        <v>190</v>
      </c>
      <c r="I378" s="174">
        <v>25184.239534746859</v>
      </c>
      <c r="J378" s="168">
        <f>IF(E378&lt;DATE(2016,1,1),IF(OR(M378="metres",M378="pipe"),INDEX('Scheme cost allocation'!$D$21:$D$42,MATCH(IF(MONTH(E378)&lt;7,YEAR(E378),YEAR(E378)+1),'Scheme cost allocation'!$C$21:$C$42,0))*'Scheme cost allocation'!$J$21,'Scheme cost allocation'!$J$21),'Scheme cost allocation'!$J$21)</f>
        <v>0.90850599752846017</v>
      </c>
      <c r="K378" s="47"/>
      <c r="L378" s="169">
        <v>1</v>
      </c>
      <c r="M378" s="175" t="s">
        <v>242</v>
      </c>
      <c r="N378" s="169">
        <v>1896983.657492497</v>
      </c>
      <c r="O378" s="143">
        <f t="shared" si="16"/>
        <v>1896983.657492497</v>
      </c>
      <c r="P378" s="144">
        <f t="shared" si="17"/>
        <v>1723421.0300454078</v>
      </c>
    </row>
    <row r="379" spans="3:16" x14ac:dyDescent="0.2">
      <c r="C379" s="145"/>
      <c r="D379" s="164" t="s">
        <v>465</v>
      </c>
      <c r="E379" s="137">
        <v>40067</v>
      </c>
      <c r="F379" s="172" t="str">
        <f t="shared" si="18"/>
        <v>2009-10</v>
      </c>
      <c r="H379" s="173" t="s">
        <v>190</v>
      </c>
      <c r="I379" s="174">
        <v>25184.239534746859</v>
      </c>
      <c r="J379" s="168">
        <f>IF(E379&lt;DATE(2016,1,1),IF(OR(M379="metres",M379="pipe"),INDEX('Scheme cost allocation'!$D$21:$D$42,MATCH(IF(MONTH(E379)&lt;7,YEAR(E379),YEAR(E379)+1),'Scheme cost allocation'!$C$21:$C$42,0))*'Scheme cost allocation'!$J$21,'Scheme cost allocation'!$J$21),'Scheme cost allocation'!$J$21)</f>
        <v>0.90850599752846017</v>
      </c>
      <c r="K379" s="47"/>
      <c r="L379" s="169">
        <v>1</v>
      </c>
      <c r="M379" s="175" t="s">
        <v>242</v>
      </c>
      <c r="N379" s="169">
        <v>1137120.8318795417</v>
      </c>
      <c r="O379" s="143">
        <f t="shared" si="16"/>
        <v>1137120.8318795417</v>
      </c>
      <c r="P379" s="144">
        <f t="shared" si="17"/>
        <v>1033081.0956771155</v>
      </c>
    </row>
    <row r="380" spans="3:16" x14ac:dyDescent="0.2">
      <c r="C380" s="145"/>
      <c r="D380" s="164" t="s">
        <v>466</v>
      </c>
      <c r="E380" s="137">
        <v>40212</v>
      </c>
      <c r="F380" s="172" t="str">
        <f t="shared" si="18"/>
        <v>2009-10</v>
      </c>
      <c r="H380" s="173" t="s">
        <v>190</v>
      </c>
      <c r="I380" s="174">
        <v>25184.239534746859</v>
      </c>
      <c r="J380" s="168">
        <f>IF(E380&lt;DATE(2016,1,1),IF(OR(M380="metres",M380="pipe"),INDEX('Scheme cost allocation'!$D$21:$D$42,MATCH(IF(MONTH(E380)&lt;7,YEAR(E380),YEAR(E380)+1),'Scheme cost allocation'!$C$21:$C$42,0))*'Scheme cost allocation'!$J$21,'Scheme cost allocation'!$J$21),'Scheme cost allocation'!$J$21)</f>
        <v>0.90850599752846017</v>
      </c>
      <c r="K380" s="47"/>
      <c r="L380" s="169">
        <v>1</v>
      </c>
      <c r="M380" s="175" t="s">
        <v>242</v>
      </c>
      <c r="N380" s="169">
        <v>176146.74599280459</v>
      </c>
      <c r="O380" s="143">
        <f t="shared" si="16"/>
        <v>176146.74599280459</v>
      </c>
      <c r="P380" s="144">
        <f t="shared" si="17"/>
        <v>160030.37517958521</v>
      </c>
    </row>
    <row r="381" spans="3:16" x14ac:dyDescent="0.2">
      <c r="C381" s="145"/>
      <c r="D381" s="164" t="s">
        <v>467</v>
      </c>
      <c r="E381" s="137">
        <v>40367</v>
      </c>
      <c r="F381" s="172" t="str">
        <f t="shared" si="18"/>
        <v>2010-11</v>
      </c>
      <c r="H381" s="173" t="s">
        <v>190</v>
      </c>
      <c r="I381" s="174">
        <v>25184.239534746859</v>
      </c>
      <c r="J381" s="168">
        <f>IF(E381&lt;DATE(2016,1,1),IF(OR(M381="metres",M381="pipe"),INDEX('Scheme cost allocation'!$D$21:$D$42,MATCH(IF(MONTH(E381)&lt;7,YEAR(E381),YEAR(E381)+1),'Scheme cost allocation'!$C$21:$C$42,0))*'Scheme cost allocation'!$J$21,'Scheme cost allocation'!$J$21),'Scheme cost allocation'!$J$21)</f>
        <v>0.90850599752846017</v>
      </c>
      <c r="K381" s="47"/>
      <c r="L381" s="169">
        <v>1</v>
      </c>
      <c r="M381" s="175" t="s">
        <v>242</v>
      </c>
      <c r="N381" s="169">
        <v>548589.18548954395</v>
      </c>
      <c r="O381" s="143">
        <f t="shared" si="16"/>
        <v>548589.18548954395</v>
      </c>
      <c r="P381" s="144">
        <f t="shared" si="17"/>
        <v>498396.56519650359</v>
      </c>
    </row>
    <row r="382" spans="3:16" x14ac:dyDescent="0.2">
      <c r="C382" s="145"/>
      <c r="D382" s="164" t="s">
        <v>468</v>
      </c>
      <c r="E382" s="137">
        <v>40477</v>
      </c>
      <c r="F382" s="172" t="str">
        <f t="shared" si="18"/>
        <v>2010-11</v>
      </c>
      <c r="H382" s="173" t="s">
        <v>190</v>
      </c>
      <c r="I382" s="174">
        <v>25184.239534746859</v>
      </c>
      <c r="J382" s="168">
        <f>IF(E382&lt;DATE(2016,1,1),IF(OR(M382="metres",M382="pipe"),INDEX('Scheme cost allocation'!$D$21:$D$42,MATCH(IF(MONTH(E382)&lt;7,YEAR(E382),YEAR(E382)+1),'Scheme cost allocation'!$C$21:$C$42,0))*'Scheme cost allocation'!$J$21,'Scheme cost allocation'!$J$21),'Scheme cost allocation'!$J$21)</f>
        <v>0.90850599752846017</v>
      </c>
      <c r="K382" s="47"/>
      <c r="L382" s="169">
        <v>1</v>
      </c>
      <c r="M382" s="175" t="s">
        <v>242</v>
      </c>
      <c r="N382" s="169">
        <v>663260.84292335389</v>
      </c>
      <c r="O382" s="143">
        <f t="shared" si="16"/>
        <v>663260.84292335389</v>
      </c>
      <c r="P382" s="144">
        <f t="shared" si="17"/>
        <v>602576.45372164901</v>
      </c>
    </row>
    <row r="383" spans="3:16" x14ac:dyDescent="0.2">
      <c r="C383" s="145"/>
      <c r="D383" s="164" t="s">
        <v>469</v>
      </c>
      <c r="E383" s="137">
        <v>40491</v>
      </c>
      <c r="F383" s="172" t="str">
        <f t="shared" si="18"/>
        <v>2010-11</v>
      </c>
      <c r="H383" s="173" t="s">
        <v>190</v>
      </c>
      <c r="I383" s="174">
        <v>25184.239534746859</v>
      </c>
      <c r="J383" s="168">
        <f>IF(E383&lt;DATE(2016,1,1),IF(OR(M383="metres",M383="pipe"),INDEX('Scheme cost allocation'!$D$21:$D$42,MATCH(IF(MONTH(E383)&lt;7,YEAR(E383),YEAR(E383)+1),'Scheme cost allocation'!$C$21:$C$42,0))*'Scheme cost allocation'!$J$21,'Scheme cost allocation'!$J$21),'Scheme cost allocation'!$J$21)</f>
        <v>0.90850599752846017</v>
      </c>
      <c r="K383" s="47"/>
      <c r="L383" s="169">
        <v>1</v>
      </c>
      <c r="M383" s="175" t="s">
        <v>242</v>
      </c>
      <c r="N383" s="169">
        <v>547163.65787634673</v>
      </c>
      <c r="O383" s="143">
        <f t="shared" si="16"/>
        <v>547163.65787634673</v>
      </c>
      <c r="P383" s="144">
        <f t="shared" si="17"/>
        <v>497101.46481027151</v>
      </c>
    </row>
    <row r="384" spans="3:16" x14ac:dyDescent="0.2">
      <c r="C384" s="145"/>
      <c r="D384" s="164" t="s">
        <v>470</v>
      </c>
      <c r="E384" s="137">
        <v>40533</v>
      </c>
      <c r="F384" s="172" t="str">
        <f t="shared" si="18"/>
        <v>2010-11</v>
      </c>
      <c r="H384" s="173" t="s">
        <v>190</v>
      </c>
      <c r="I384" s="174">
        <v>25184.239534746859</v>
      </c>
      <c r="J384" s="168">
        <f>IF(E384&lt;DATE(2016,1,1),IF(OR(M384="metres",M384="pipe"),INDEX('Scheme cost allocation'!$D$21:$D$42,MATCH(IF(MONTH(E384)&lt;7,YEAR(E384),YEAR(E384)+1),'Scheme cost allocation'!$C$21:$C$42,0))*'Scheme cost allocation'!$J$21,'Scheme cost allocation'!$J$21),'Scheme cost allocation'!$J$21)</f>
        <v>0.90850599752846017</v>
      </c>
      <c r="K384" s="47"/>
      <c r="L384" s="169">
        <v>1</v>
      </c>
      <c r="M384" s="175" t="s">
        <v>242</v>
      </c>
      <c r="N384" s="169">
        <v>889972.66607294104</v>
      </c>
      <c r="O384" s="143">
        <f t="shared" si="16"/>
        <v>889972.66607294104</v>
      </c>
      <c r="P384" s="144">
        <f t="shared" si="17"/>
        <v>808545.50476366049</v>
      </c>
    </row>
    <row r="385" spans="3:16" x14ac:dyDescent="0.2">
      <c r="C385" s="145"/>
      <c r="D385" s="164" t="s">
        <v>471</v>
      </c>
      <c r="E385" s="137">
        <v>40675</v>
      </c>
      <c r="F385" s="172" t="str">
        <f t="shared" si="18"/>
        <v>2010-11</v>
      </c>
      <c r="H385" s="173" t="s">
        <v>190</v>
      </c>
      <c r="I385" s="174">
        <v>25184.239534746859</v>
      </c>
      <c r="J385" s="168">
        <f>IF(E385&lt;DATE(2016,1,1),IF(OR(M385="metres",M385="pipe"),INDEX('Scheme cost allocation'!$D$21:$D$42,MATCH(IF(MONTH(E385)&lt;7,YEAR(E385),YEAR(E385)+1),'Scheme cost allocation'!$C$21:$C$42,0))*'Scheme cost allocation'!$J$21,'Scheme cost allocation'!$J$21),'Scheme cost allocation'!$J$21)</f>
        <v>0.90850599752846017</v>
      </c>
      <c r="K385" s="47"/>
      <c r="L385" s="169">
        <v>1</v>
      </c>
      <c r="M385" s="175" t="s">
        <v>242</v>
      </c>
      <c r="N385" s="169">
        <v>1294366.6832758265</v>
      </c>
      <c r="O385" s="143">
        <f t="shared" si="16"/>
        <v>1294366.6832758265</v>
      </c>
      <c r="P385" s="144">
        <f t="shared" si="17"/>
        <v>1175939.8947571092</v>
      </c>
    </row>
    <row r="386" spans="3:16" x14ac:dyDescent="0.2">
      <c r="C386" s="145"/>
      <c r="D386" s="164" t="s">
        <v>472</v>
      </c>
      <c r="E386" s="137">
        <v>40757</v>
      </c>
      <c r="F386" s="172" t="str">
        <f t="shared" si="18"/>
        <v>2011-12</v>
      </c>
      <c r="H386" s="173" t="s">
        <v>190</v>
      </c>
      <c r="I386" s="174">
        <v>25184.239534746859</v>
      </c>
      <c r="J386" s="168">
        <f>IF(E386&lt;DATE(2016,1,1),IF(OR(M386="metres",M386="pipe"),INDEX('Scheme cost allocation'!$D$21:$D$42,MATCH(IF(MONTH(E386)&lt;7,YEAR(E386),YEAR(E386)+1),'Scheme cost allocation'!$C$21:$C$42,0))*'Scheme cost allocation'!$J$21,'Scheme cost allocation'!$J$21),'Scheme cost allocation'!$J$21)</f>
        <v>0.90850599752846017</v>
      </c>
      <c r="K386" s="47"/>
      <c r="L386" s="169">
        <v>1</v>
      </c>
      <c r="M386" s="175" t="s">
        <v>242</v>
      </c>
      <c r="N386" s="169">
        <v>1162654.4383232766</v>
      </c>
      <c r="O386" s="143">
        <f t="shared" si="16"/>
        <v>1162654.4383232766</v>
      </c>
      <c r="P386" s="144">
        <f t="shared" si="17"/>
        <v>1056278.53026978</v>
      </c>
    </row>
    <row r="387" spans="3:16" x14ac:dyDescent="0.2">
      <c r="C387" s="145"/>
      <c r="D387" s="164" t="s">
        <v>473</v>
      </c>
      <c r="E387" s="137">
        <v>40757</v>
      </c>
      <c r="F387" s="172" t="str">
        <f t="shared" si="18"/>
        <v>2011-12</v>
      </c>
      <c r="H387" s="173" t="s">
        <v>190</v>
      </c>
      <c r="I387" s="174">
        <v>25184.239534746859</v>
      </c>
      <c r="J387" s="168">
        <f>IF(E387&lt;DATE(2016,1,1),IF(OR(M387="metres",M387="pipe"),INDEX('Scheme cost allocation'!$D$21:$D$42,MATCH(IF(MONTH(E387)&lt;7,YEAR(E387),YEAR(E387)+1),'Scheme cost allocation'!$C$21:$C$42,0))*'Scheme cost allocation'!$J$21,'Scheme cost allocation'!$J$21),'Scheme cost allocation'!$J$21)</f>
        <v>0.90850599752846017</v>
      </c>
      <c r="K387" s="47"/>
      <c r="L387" s="169">
        <v>1</v>
      </c>
      <c r="M387" s="175" t="s">
        <v>242</v>
      </c>
      <c r="N387" s="169">
        <v>1684819.9474459318</v>
      </c>
      <c r="O387" s="143">
        <f t="shared" si="16"/>
        <v>1684819.9474459318</v>
      </c>
      <c r="P387" s="144">
        <f t="shared" si="17"/>
        <v>1530669.027010214</v>
      </c>
    </row>
    <row r="388" spans="3:16" x14ac:dyDescent="0.2">
      <c r="C388" s="145"/>
      <c r="D388" s="164" t="s">
        <v>474</v>
      </c>
      <c r="E388" s="137">
        <v>40941</v>
      </c>
      <c r="F388" s="172" t="str">
        <f t="shared" si="18"/>
        <v>2011-12</v>
      </c>
      <c r="H388" s="173" t="s">
        <v>190</v>
      </c>
      <c r="I388" s="174">
        <v>25184.239534746859</v>
      </c>
      <c r="J388" s="168">
        <f>IF(E388&lt;DATE(2016,1,1),IF(OR(M388="metres",M388="pipe"),INDEX('Scheme cost allocation'!$D$21:$D$42,MATCH(IF(MONTH(E388)&lt;7,YEAR(E388),YEAR(E388)+1),'Scheme cost allocation'!$C$21:$C$42,0))*'Scheme cost allocation'!$J$21,'Scheme cost allocation'!$J$21),'Scheme cost allocation'!$J$21)</f>
        <v>0.90850599752846017</v>
      </c>
      <c r="K388" s="47"/>
      <c r="L388" s="169">
        <v>1</v>
      </c>
      <c r="M388" s="175" t="s">
        <v>242</v>
      </c>
      <c r="N388" s="169">
        <v>5966.5487087087076</v>
      </c>
      <c r="O388" s="143">
        <f t="shared" si="16"/>
        <v>5966.5487087087076</v>
      </c>
      <c r="P388" s="144">
        <f t="shared" si="17"/>
        <v>5420.64528640755</v>
      </c>
    </row>
    <row r="389" spans="3:16" x14ac:dyDescent="0.2">
      <c r="C389" s="145"/>
      <c r="D389" s="164" t="s">
        <v>475</v>
      </c>
      <c r="E389" s="137">
        <v>41079</v>
      </c>
      <c r="F389" s="172" t="str">
        <f t="shared" si="18"/>
        <v>2011-12</v>
      </c>
      <c r="H389" s="173" t="s">
        <v>190</v>
      </c>
      <c r="I389" s="174">
        <v>25184.239534746859</v>
      </c>
      <c r="J389" s="168">
        <f>IF(E389&lt;DATE(2016,1,1),IF(OR(M389="metres",M389="pipe"),INDEX('Scheme cost allocation'!$D$21:$D$42,MATCH(IF(MONTH(E389)&lt;7,YEAR(E389),YEAR(E389)+1),'Scheme cost allocation'!$C$21:$C$42,0))*'Scheme cost allocation'!$J$21,'Scheme cost allocation'!$J$21),'Scheme cost allocation'!$J$21)</f>
        <v>0.90850599752846017</v>
      </c>
      <c r="K389" s="47"/>
      <c r="L389" s="169">
        <v>1</v>
      </c>
      <c r="M389" s="175" t="s">
        <v>242</v>
      </c>
      <c r="N389" s="169">
        <v>1294329.9567379481</v>
      </c>
      <c r="O389" s="143">
        <f t="shared" si="16"/>
        <v>1294329.9567379481</v>
      </c>
      <c r="P389" s="144">
        <f t="shared" si="17"/>
        <v>1175906.5284771782</v>
      </c>
    </row>
    <row r="390" spans="3:16" x14ac:dyDescent="0.2">
      <c r="C390" s="145"/>
      <c r="D390" s="164" t="s">
        <v>476</v>
      </c>
      <c r="E390" s="137">
        <v>41086</v>
      </c>
      <c r="F390" s="172" t="str">
        <f t="shared" si="18"/>
        <v>2011-12</v>
      </c>
      <c r="H390" s="173" t="s">
        <v>190</v>
      </c>
      <c r="I390" s="174">
        <v>25184.239534746859</v>
      </c>
      <c r="J390" s="168">
        <f>IF(E390&lt;DATE(2016,1,1),IF(OR(M390="metres",M390="pipe"),INDEX('Scheme cost allocation'!$D$21:$D$42,MATCH(IF(MONTH(E390)&lt;7,YEAR(E390),YEAR(E390)+1),'Scheme cost allocation'!$C$21:$C$42,0))*'Scheme cost allocation'!$J$21,'Scheme cost allocation'!$J$21),'Scheme cost allocation'!$J$21)</f>
        <v>0.90850599752846017</v>
      </c>
      <c r="K390" s="47"/>
      <c r="L390" s="169">
        <v>1</v>
      </c>
      <c r="M390" s="175" t="s">
        <v>242</v>
      </c>
      <c r="N390" s="169">
        <v>406598.08716885454</v>
      </c>
      <c r="O390" s="143">
        <f t="shared" si="16"/>
        <v>406598.08716885454</v>
      </c>
      <c r="P390" s="144">
        <f t="shared" si="17"/>
        <v>369396.80077650398</v>
      </c>
    </row>
    <row r="391" spans="3:16" x14ac:dyDescent="0.2">
      <c r="C391" s="145"/>
      <c r="D391" s="164" t="s">
        <v>477</v>
      </c>
      <c r="E391" s="137">
        <v>41176</v>
      </c>
      <c r="F391" s="172" t="str">
        <f t="shared" si="18"/>
        <v>2012-13</v>
      </c>
      <c r="H391" s="173" t="s">
        <v>190</v>
      </c>
      <c r="I391" s="174">
        <v>25184.239534746859</v>
      </c>
      <c r="J391" s="168">
        <f>IF(E391&lt;DATE(2016,1,1),IF(OR(M391="metres",M391="pipe"),INDEX('Scheme cost allocation'!$D$21:$D$42,MATCH(IF(MONTH(E391)&lt;7,YEAR(E391),YEAR(E391)+1),'Scheme cost allocation'!$C$21:$C$42,0))*'Scheme cost allocation'!$J$21,'Scheme cost allocation'!$J$21),'Scheme cost allocation'!$J$21)</f>
        <v>0.90850599752846017</v>
      </c>
      <c r="K391" s="47"/>
      <c r="L391" s="169">
        <v>1</v>
      </c>
      <c r="M391" s="175" t="s">
        <v>242</v>
      </c>
      <c r="N391" s="169">
        <v>1556.5186969253436</v>
      </c>
      <c r="O391" s="143">
        <f t="shared" si="16"/>
        <v>1556.5186969253436</v>
      </c>
      <c r="P391" s="144">
        <f t="shared" si="17"/>
        <v>1414.1065714218582</v>
      </c>
    </row>
    <row r="392" spans="3:16" x14ac:dyDescent="0.2">
      <c r="C392" s="145"/>
      <c r="D392" s="164" t="s">
        <v>478</v>
      </c>
      <c r="E392" s="137">
        <v>41178</v>
      </c>
      <c r="F392" s="172" t="str">
        <f t="shared" si="18"/>
        <v>2012-13</v>
      </c>
      <c r="H392" s="173" t="s">
        <v>190</v>
      </c>
      <c r="I392" s="174">
        <v>25184.239534746859</v>
      </c>
      <c r="J392" s="168">
        <f>IF(E392&lt;DATE(2016,1,1),IF(OR(M392="metres",M392="pipe"),INDEX('Scheme cost allocation'!$D$21:$D$42,MATCH(IF(MONTH(E392)&lt;7,YEAR(E392),YEAR(E392)+1),'Scheme cost allocation'!$C$21:$C$42,0))*'Scheme cost allocation'!$J$21,'Scheme cost allocation'!$J$21),'Scheme cost allocation'!$J$21)</f>
        <v>0.90850599752846017</v>
      </c>
      <c r="K392" s="47"/>
      <c r="L392" s="169">
        <v>1</v>
      </c>
      <c r="M392" s="175" t="s">
        <v>242</v>
      </c>
      <c r="N392" s="169">
        <v>384564.06209204317</v>
      </c>
      <c r="O392" s="143">
        <f t="shared" si="16"/>
        <v>384564.06209204317</v>
      </c>
      <c r="P392" s="144">
        <f t="shared" si="17"/>
        <v>349378.75684452837</v>
      </c>
    </row>
    <row r="393" spans="3:16" x14ac:dyDescent="0.2">
      <c r="C393" s="145"/>
      <c r="D393" s="164" t="s">
        <v>479</v>
      </c>
      <c r="E393" s="137">
        <v>41227</v>
      </c>
      <c r="F393" s="172" t="str">
        <f t="shared" si="18"/>
        <v>2012-13</v>
      </c>
      <c r="H393" s="173" t="s">
        <v>190</v>
      </c>
      <c r="I393" s="174">
        <v>25184.239534746859</v>
      </c>
      <c r="J393" s="168">
        <f>IF(E393&lt;DATE(2016,1,1),IF(OR(M393="metres",M393="pipe"),INDEX('Scheme cost allocation'!$D$21:$D$42,MATCH(IF(MONTH(E393)&lt;7,YEAR(E393),YEAR(E393)+1),'Scheme cost allocation'!$C$21:$C$42,0))*'Scheme cost allocation'!$J$21,'Scheme cost allocation'!$J$21),'Scheme cost allocation'!$J$21)</f>
        <v>0.90850599752846017</v>
      </c>
      <c r="K393" s="47"/>
      <c r="L393" s="169">
        <v>1</v>
      </c>
      <c r="M393" s="175" t="s">
        <v>242</v>
      </c>
      <c r="N393" s="169">
        <v>6022.7431715686271</v>
      </c>
      <c r="O393" s="143">
        <f t="shared" si="16"/>
        <v>6022.7431715686271</v>
      </c>
      <c r="P393" s="144">
        <f t="shared" si="17"/>
        <v>5471.6982929436772</v>
      </c>
    </row>
    <row r="394" spans="3:16" x14ac:dyDescent="0.2">
      <c r="C394" s="145"/>
      <c r="D394" s="164" t="s">
        <v>480</v>
      </c>
      <c r="E394" s="137">
        <v>41239</v>
      </c>
      <c r="F394" s="172" t="str">
        <f t="shared" si="18"/>
        <v>2012-13</v>
      </c>
      <c r="H394" s="173" t="s">
        <v>190</v>
      </c>
      <c r="I394" s="174">
        <v>25184.239534746859</v>
      </c>
      <c r="J394" s="168">
        <f>IF(E394&lt;DATE(2016,1,1),IF(OR(M394="metres",M394="pipe"),INDEX('Scheme cost allocation'!$D$21:$D$42,MATCH(IF(MONTH(E394)&lt;7,YEAR(E394),YEAR(E394)+1),'Scheme cost allocation'!$C$21:$C$42,0))*'Scheme cost allocation'!$J$21,'Scheme cost allocation'!$J$21),'Scheme cost allocation'!$J$21)</f>
        <v>0.90850599752846017</v>
      </c>
      <c r="K394" s="47"/>
      <c r="L394" s="169">
        <v>1</v>
      </c>
      <c r="M394" s="175" t="s">
        <v>242</v>
      </c>
      <c r="N394" s="169">
        <v>6022.7431715686271</v>
      </c>
      <c r="O394" s="143">
        <f t="shared" si="16"/>
        <v>6022.7431715686271</v>
      </c>
      <c r="P394" s="144">
        <f t="shared" si="17"/>
        <v>5471.6982929436772</v>
      </c>
    </row>
    <row r="395" spans="3:16" x14ac:dyDescent="0.2">
      <c r="C395" s="145"/>
      <c r="D395" s="164" t="s">
        <v>481</v>
      </c>
      <c r="E395" s="137">
        <v>41331</v>
      </c>
      <c r="F395" s="172" t="str">
        <f t="shared" si="18"/>
        <v>2012-13</v>
      </c>
      <c r="H395" s="173" t="s">
        <v>190</v>
      </c>
      <c r="I395" s="174">
        <v>25184.239534746859</v>
      </c>
      <c r="J395" s="168">
        <f>IF(E395&lt;DATE(2016,1,1),IF(OR(M395="metres",M395="pipe"),INDEX('Scheme cost allocation'!$D$21:$D$42,MATCH(IF(MONTH(E395)&lt;7,YEAR(E395),YEAR(E395)+1),'Scheme cost allocation'!$C$21:$C$42,0))*'Scheme cost allocation'!$J$21,'Scheme cost allocation'!$J$21),'Scheme cost allocation'!$J$21)</f>
        <v>0.90850599752846017</v>
      </c>
      <c r="K395" s="47"/>
      <c r="L395" s="169">
        <v>1</v>
      </c>
      <c r="M395" s="175" t="s">
        <v>242</v>
      </c>
      <c r="N395" s="169">
        <v>3494811.8927539745</v>
      </c>
      <c r="O395" s="143">
        <f t="shared" si="16"/>
        <v>3494811.8927539745</v>
      </c>
      <c r="P395" s="144">
        <f t="shared" si="17"/>
        <v>3175057.5648007756</v>
      </c>
    </row>
    <row r="396" spans="3:16" x14ac:dyDescent="0.2">
      <c r="C396" s="145"/>
      <c r="D396" s="164" t="s">
        <v>482</v>
      </c>
      <c r="E396" s="137">
        <v>41778</v>
      </c>
      <c r="F396" s="172" t="str">
        <f t="shared" si="18"/>
        <v>2013-14</v>
      </c>
      <c r="H396" s="173" t="s">
        <v>190</v>
      </c>
      <c r="I396" s="174">
        <v>25184.239534746859</v>
      </c>
      <c r="J396" s="168">
        <f>IF(E396&lt;DATE(2016,1,1),IF(OR(M396="metres",M396="pipe"),INDEX('Scheme cost allocation'!$D$21:$D$42,MATCH(IF(MONTH(E396)&lt;7,YEAR(E396),YEAR(E396)+1),'Scheme cost allocation'!$C$21:$C$42,0))*'Scheme cost allocation'!$J$21,'Scheme cost allocation'!$J$21),'Scheme cost allocation'!$J$21)</f>
        <v>0.90850599752846017</v>
      </c>
      <c r="K396" s="47"/>
      <c r="L396" s="169">
        <v>1</v>
      </c>
      <c r="M396" s="175" t="s">
        <v>242</v>
      </c>
      <c r="N396" s="169">
        <v>3060.6075766383374</v>
      </c>
      <c r="O396" s="143">
        <f t="shared" si="16"/>
        <v>3060.6075766383374</v>
      </c>
      <c r="P396" s="144">
        <f t="shared" si="17"/>
        <v>2780.5803394569757</v>
      </c>
    </row>
    <row r="397" spans="3:16" x14ac:dyDescent="0.2">
      <c r="C397" s="145"/>
      <c r="D397" s="164" t="s">
        <v>483</v>
      </c>
      <c r="E397" s="137">
        <v>42095</v>
      </c>
      <c r="F397" s="172" t="str">
        <f t="shared" si="18"/>
        <v>2014-15</v>
      </c>
      <c r="H397" s="173" t="s">
        <v>190</v>
      </c>
      <c r="I397" s="174">
        <v>25184.239534746859</v>
      </c>
      <c r="J397" s="168">
        <f>IF(E397&lt;DATE(2016,1,1),IF(OR(M397="metres",M397="pipe"),INDEX('Scheme cost allocation'!$D$21:$D$42,MATCH(IF(MONTH(E397)&lt;7,YEAR(E397),YEAR(E397)+1),'Scheme cost allocation'!$C$21:$C$42,0))*'Scheme cost allocation'!$J$21,'Scheme cost allocation'!$J$21),'Scheme cost allocation'!$J$21)</f>
        <v>0.90850599752846017</v>
      </c>
      <c r="K397" s="47"/>
      <c r="L397" s="169">
        <v>1</v>
      </c>
      <c r="M397" s="175" t="s">
        <v>242</v>
      </c>
      <c r="N397" s="169">
        <v>34515.249751162795</v>
      </c>
      <c r="O397" s="143">
        <f t="shared" si="16"/>
        <v>34515.249751162795</v>
      </c>
      <c r="P397" s="144">
        <f t="shared" si="17"/>
        <v>31357.311405124092</v>
      </c>
    </row>
    <row r="398" spans="3:16" x14ac:dyDescent="0.2">
      <c r="C398" s="145"/>
      <c r="D398" s="164" t="s">
        <v>484</v>
      </c>
      <c r="E398" s="137">
        <v>42095</v>
      </c>
      <c r="F398" s="172" t="str">
        <f t="shared" si="18"/>
        <v>2014-15</v>
      </c>
      <c r="H398" s="173" t="s">
        <v>190</v>
      </c>
      <c r="I398" s="174">
        <v>25184.239534746859</v>
      </c>
      <c r="J398" s="168">
        <f>IF(E398&lt;DATE(2016,1,1),IF(OR(M398="metres",M398="pipe"),INDEX('Scheme cost allocation'!$D$21:$D$42,MATCH(IF(MONTH(E398)&lt;7,YEAR(E398),YEAR(E398)+1),'Scheme cost allocation'!$C$21:$C$42,0))*'Scheme cost allocation'!$J$21,'Scheme cost allocation'!$J$21),'Scheme cost allocation'!$J$21)</f>
        <v>0.90850599752846017</v>
      </c>
      <c r="K398" s="47"/>
      <c r="L398" s="169">
        <v>1</v>
      </c>
      <c r="M398" s="175" t="s">
        <v>242</v>
      </c>
      <c r="N398" s="169">
        <v>91992.19493674417</v>
      </c>
      <c r="O398" s="143">
        <f t="shared" si="16"/>
        <v>91992.19493674417</v>
      </c>
      <c r="P398" s="144">
        <f t="shared" si="17"/>
        <v>83575.460825839327</v>
      </c>
    </row>
    <row r="399" spans="3:16" x14ac:dyDescent="0.2">
      <c r="C399" s="145"/>
      <c r="D399" s="164" t="s">
        <v>485</v>
      </c>
      <c r="E399" s="137">
        <v>42109</v>
      </c>
      <c r="F399" s="172" t="str">
        <f t="shared" si="18"/>
        <v>2014-15</v>
      </c>
      <c r="H399" s="173" t="s">
        <v>190</v>
      </c>
      <c r="I399" s="174">
        <v>25184.239534746859</v>
      </c>
      <c r="J399" s="168">
        <f>IF(E399&lt;DATE(2016,1,1),IF(OR(M399="metres",M399="pipe"),INDEX('Scheme cost allocation'!$D$21:$D$42,MATCH(IF(MONTH(E399)&lt;7,YEAR(E399),YEAR(E399)+1),'Scheme cost allocation'!$C$21:$C$42,0))*'Scheme cost allocation'!$J$21,'Scheme cost allocation'!$J$21),'Scheme cost allocation'!$J$21)</f>
        <v>0.90850599752846017</v>
      </c>
      <c r="K399" s="47"/>
      <c r="L399" s="169">
        <v>1</v>
      </c>
      <c r="M399" s="175" t="s">
        <v>242</v>
      </c>
      <c r="N399" s="169">
        <v>278595.38139534881</v>
      </c>
      <c r="O399" s="143">
        <f t="shared" si="16"/>
        <v>278595.38139534881</v>
      </c>
      <c r="P399" s="144">
        <f t="shared" si="17"/>
        <v>253105.57488140318</v>
      </c>
    </row>
    <row r="400" spans="3:16" x14ac:dyDescent="0.2">
      <c r="C400" s="145"/>
      <c r="D400" s="164" t="s">
        <v>486</v>
      </c>
      <c r="E400" s="137">
        <v>42179</v>
      </c>
      <c r="F400" s="172" t="str">
        <f t="shared" si="18"/>
        <v>2014-15</v>
      </c>
      <c r="H400" s="173" t="s">
        <v>190</v>
      </c>
      <c r="I400" s="174">
        <v>25184.239534746859</v>
      </c>
      <c r="J400" s="168">
        <f>IF(E400&lt;DATE(2016,1,1),IF(OR(M400="metres",M400="pipe"),INDEX('Scheme cost allocation'!$D$21:$D$42,MATCH(IF(MONTH(E400)&lt;7,YEAR(E400),YEAR(E400)+1),'Scheme cost allocation'!$C$21:$C$42,0))*'Scheme cost allocation'!$J$21,'Scheme cost allocation'!$J$21),'Scheme cost allocation'!$J$21)</f>
        <v>0.90850599752846017</v>
      </c>
      <c r="K400" s="47"/>
      <c r="L400" s="169">
        <v>1</v>
      </c>
      <c r="M400" s="175" t="s">
        <v>242</v>
      </c>
      <c r="N400" s="169">
        <v>58054.520976279069</v>
      </c>
      <c r="O400" s="143">
        <f t="shared" si="16"/>
        <v>58054.520976279069</v>
      </c>
      <c r="P400" s="144">
        <f t="shared" si="17"/>
        <v>52742.880490591335</v>
      </c>
    </row>
    <row r="401" spans="3:16" x14ac:dyDescent="0.2">
      <c r="C401" s="145"/>
      <c r="D401" s="164" t="s">
        <v>487</v>
      </c>
      <c r="E401" s="137">
        <v>42200</v>
      </c>
      <c r="F401" s="172" t="str">
        <f t="shared" si="18"/>
        <v>2015-16</v>
      </c>
      <c r="H401" s="173" t="s">
        <v>190</v>
      </c>
      <c r="I401" s="174">
        <v>25184.239534746859</v>
      </c>
      <c r="J401" s="168">
        <f>IF(E401&lt;DATE(2016,1,1),IF(OR(M401="metres",M401="pipe"),INDEX('Scheme cost allocation'!$D$21:$D$42,MATCH(IF(MONTH(E401)&lt;7,YEAR(E401),YEAR(E401)+1),'Scheme cost allocation'!$C$21:$C$42,0))*'Scheme cost allocation'!$J$21,'Scheme cost allocation'!$J$21),'Scheme cost allocation'!$J$21)</f>
        <v>0.90850599752846017</v>
      </c>
      <c r="K401" s="47"/>
      <c r="L401" s="169">
        <v>1</v>
      </c>
      <c r="M401" s="175" t="s">
        <v>242</v>
      </c>
      <c r="N401" s="169">
        <v>477474.2438530277</v>
      </c>
      <c r="O401" s="143">
        <f t="shared" si="16"/>
        <v>477474.2438530277</v>
      </c>
      <c r="P401" s="144">
        <f>IF(O401="-","-",IF(OR(E401&lt;$E$15,E401&gt;$E$16),0,O401*J401))</f>
        <v>433788.21420584217</v>
      </c>
    </row>
    <row r="402" spans="3:16" x14ac:dyDescent="0.2">
      <c r="C402" s="145"/>
      <c r="D402" s="164" t="s">
        <v>488</v>
      </c>
      <c r="E402" s="137">
        <v>42374</v>
      </c>
      <c r="F402" s="172" t="str">
        <f t="shared" si="18"/>
        <v>2015-16</v>
      </c>
      <c r="H402" s="173" t="s">
        <v>190</v>
      </c>
      <c r="I402" s="174">
        <v>25184.239534746859</v>
      </c>
      <c r="J402" s="168">
        <f>IF(E402&lt;DATE(2016,1,1),IF(OR(M402="metres",M402="pipe"),INDEX('Scheme cost allocation'!$D$21:$D$42,MATCH(IF(MONTH(E402)&lt;7,YEAR(E402),YEAR(E402)+1),'Scheme cost allocation'!$C$21:$C$42,0))*'Scheme cost allocation'!$J$21,'Scheme cost allocation'!$J$21),'Scheme cost allocation'!$J$21)</f>
        <v>0.90850599752846017</v>
      </c>
      <c r="K402" s="47"/>
      <c r="L402" s="169">
        <v>1</v>
      </c>
      <c r="M402" s="175" t="s">
        <v>242</v>
      </c>
      <c r="N402" s="169">
        <v>2293.4933648243991</v>
      </c>
      <c r="O402" s="143">
        <f t="shared" si="16"/>
        <v>2293.4933648243991</v>
      </c>
      <c r="P402" s="144">
        <f t="shared" si="17"/>
        <v>2083.6524772346952</v>
      </c>
    </row>
    <row r="403" spans="3:16" x14ac:dyDescent="0.2">
      <c r="C403" s="145"/>
      <c r="D403" s="164" t="s">
        <v>489</v>
      </c>
      <c r="E403" s="137">
        <v>42389</v>
      </c>
      <c r="F403" s="172" t="str">
        <f t="shared" si="18"/>
        <v>2015-16</v>
      </c>
      <c r="H403" s="173" t="s">
        <v>190</v>
      </c>
      <c r="I403" s="174">
        <v>25184.239534746859</v>
      </c>
      <c r="J403" s="168">
        <f>IF(E403&lt;DATE(2016,1,1),IF(OR(M403="metres",M403="pipe"),INDEX('Scheme cost allocation'!$D$21:$D$42,MATCH(IF(MONTH(E403)&lt;7,YEAR(E403),YEAR(E403)+1),'Scheme cost allocation'!$C$21:$C$42,0))*'Scheme cost allocation'!$J$21,'Scheme cost allocation'!$J$21),'Scheme cost allocation'!$J$21)</f>
        <v>0.90850599752846017</v>
      </c>
      <c r="K403" s="47"/>
      <c r="L403" s="169">
        <v>1</v>
      </c>
      <c r="M403" s="175" t="s">
        <v>242</v>
      </c>
      <c r="N403" s="169">
        <v>522261.91897263395</v>
      </c>
      <c r="O403" s="143">
        <f t="shared" si="16"/>
        <v>522261.91897263395</v>
      </c>
      <c r="P403" s="144">
        <f t="shared" si="17"/>
        <v>474478.08566736063</v>
      </c>
    </row>
    <row r="404" spans="3:16" x14ac:dyDescent="0.2">
      <c r="C404" s="145"/>
      <c r="D404" s="164" t="s">
        <v>490</v>
      </c>
      <c r="E404" s="137">
        <v>42389</v>
      </c>
      <c r="F404" s="172" t="str">
        <f t="shared" si="18"/>
        <v>2015-16</v>
      </c>
      <c r="H404" s="173" t="s">
        <v>190</v>
      </c>
      <c r="I404" s="174">
        <v>25184.239534746859</v>
      </c>
      <c r="J404" s="168">
        <f>IF(E404&lt;DATE(2016,1,1),IF(OR(M404="metres",M404="pipe"),INDEX('Scheme cost allocation'!$D$21:$D$42,MATCH(IF(MONTH(E404)&lt;7,YEAR(E404),YEAR(E404)+1),'Scheme cost allocation'!$C$21:$C$42,0))*'Scheme cost allocation'!$J$21,'Scheme cost allocation'!$J$21),'Scheme cost allocation'!$J$21)</f>
        <v>0.90850599752846017</v>
      </c>
      <c r="K404" s="47"/>
      <c r="L404" s="169">
        <v>1</v>
      </c>
      <c r="M404" s="175" t="s">
        <v>242</v>
      </c>
      <c r="N404" s="169">
        <v>927899.34523877082</v>
      </c>
      <c r="O404" s="143">
        <f t="shared" si="16"/>
        <v>927899.34523877082</v>
      </c>
      <c r="P404" s="144">
        <f t="shared" si="17"/>
        <v>843002.12025215453</v>
      </c>
    </row>
    <row r="405" spans="3:16" x14ac:dyDescent="0.2">
      <c r="C405" s="145"/>
      <c r="D405" s="164" t="s">
        <v>491</v>
      </c>
      <c r="E405" s="137">
        <v>42443</v>
      </c>
      <c r="F405" s="172" t="str">
        <f t="shared" si="18"/>
        <v>2015-16</v>
      </c>
      <c r="H405" s="173" t="s">
        <v>190</v>
      </c>
      <c r="I405" s="174">
        <v>25184.239534746859</v>
      </c>
      <c r="J405" s="168">
        <f>IF(E405&lt;DATE(2016,1,1),IF(OR(M405="metres",M405="pipe"),INDEX('Scheme cost allocation'!$D$21:$D$42,MATCH(IF(MONTH(E405)&lt;7,YEAR(E405),YEAR(E405)+1),'Scheme cost allocation'!$C$21:$C$42,0))*'Scheme cost allocation'!$J$21,'Scheme cost allocation'!$J$21),'Scheme cost allocation'!$J$21)</f>
        <v>0.90850599752846017</v>
      </c>
      <c r="K405" s="47"/>
      <c r="L405" s="169">
        <v>1</v>
      </c>
      <c r="M405" s="175" t="s">
        <v>242</v>
      </c>
      <c r="N405" s="169">
        <v>2293.4933648243991</v>
      </c>
      <c r="O405" s="143">
        <f t="shared" si="16"/>
        <v>2293.4933648243991</v>
      </c>
      <c r="P405" s="144">
        <f t="shared" si="17"/>
        <v>2083.6524772346952</v>
      </c>
    </row>
    <row r="406" spans="3:16" x14ac:dyDescent="0.2">
      <c r="C406" s="145"/>
      <c r="D406" s="164" t="s">
        <v>492</v>
      </c>
      <c r="E406" s="137">
        <v>42477</v>
      </c>
      <c r="F406" s="172" t="str">
        <f t="shared" si="18"/>
        <v>2015-16</v>
      </c>
      <c r="H406" s="173" t="s">
        <v>190</v>
      </c>
      <c r="I406" s="174">
        <v>25184.239534746859</v>
      </c>
      <c r="J406" s="168">
        <f>IF(E406&lt;DATE(2016,1,1),IF(OR(M406="metres",M406="pipe"),INDEX('Scheme cost allocation'!$D$21:$D$42,MATCH(IF(MONTH(E406)&lt;7,YEAR(E406),YEAR(E406)+1),'Scheme cost allocation'!$C$21:$C$42,0))*'Scheme cost allocation'!$J$21,'Scheme cost allocation'!$J$21),'Scheme cost allocation'!$J$21)</f>
        <v>0.90850599752846017</v>
      </c>
      <c r="K406" s="47"/>
      <c r="L406" s="169">
        <v>1</v>
      </c>
      <c r="M406" s="175" t="s">
        <v>242</v>
      </c>
      <c r="N406" s="169">
        <v>2285.0458754511969</v>
      </c>
      <c r="O406" s="143">
        <f t="shared" ref="O406:O469" si="19">IF(N406="","-",L406*N406)</f>
        <v>2285.0458754511969</v>
      </c>
      <c r="P406" s="144">
        <f t="shared" ref="P406:P469" si="20">IF(O406="-","-",IF(OR(E406&lt;$E$15,E406&gt;$E$16),0,O406*J406))</f>
        <v>2075.9778824750833</v>
      </c>
    </row>
    <row r="407" spans="3:16" x14ac:dyDescent="0.2">
      <c r="C407" s="145"/>
      <c r="D407" s="164" t="s">
        <v>493</v>
      </c>
      <c r="E407" s="137">
        <v>42492</v>
      </c>
      <c r="F407" s="172" t="str">
        <f t="shared" si="18"/>
        <v>2015-16</v>
      </c>
      <c r="H407" s="173" t="s">
        <v>190</v>
      </c>
      <c r="I407" s="174">
        <v>25184.239534746859</v>
      </c>
      <c r="J407" s="168">
        <f>IF(E407&lt;DATE(2016,1,1),IF(OR(M407="metres",M407="pipe"),INDEX('Scheme cost allocation'!$D$21:$D$42,MATCH(IF(MONTH(E407)&lt;7,YEAR(E407),YEAR(E407)+1),'Scheme cost allocation'!$C$21:$C$42,0))*'Scheme cost allocation'!$J$21,'Scheme cost allocation'!$J$21),'Scheme cost allocation'!$J$21)</f>
        <v>0.90850599752846017</v>
      </c>
      <c r="K407" s="47"/>
      <c r="L407" s="169">
        <v>1</v>
      </c>
      <c r="M407" s="175" t="s">
        <v>242</v>
      </c>
      <c r="N407" s="169">
        <v>1023889.5041417495</v>
      </c>
      <c r="O407" s="143">
        <f t="shared" si="19"/>
        <v>1023889.5041417495</v>
      </c>
      <c r="P407" s="144">
        <f t="shared" si="20"/>
        <v>930209.7553192206</v>
      </c>
    </row>
    <row r="408" spans="3:16" x14ac:dyDescent="0.2">
      <c r="C408" s="145"/>
      <c r="D408" s="164" t="s">
        <v>494</v>
      </c>
      <c r="E408" s="137">
        <v>42542</v>
      </c>
      <c r="F408" s="172" t="str">
        <f t="shared" si="18"/>
        <v>2015-16</v>
      </c>
      <c r="H408" s="173" t="s">
        <v>190</v>
      </c>
      <c r="I408" s="174">
        <v>25184.239534746859</v>
      </c>
      <c r="J408" s="168">
        <f>IF(E408&lt;DATE(2016,1,1),IF(OR(M408="metres",M408="pipe"),INDEX('Scheme cost allocation'!$D$21:$D$42,MATCH(IF(MONTH(E408)&lt;7,YEAR(E408),YEAR(E408)+1),'Scheme cost allocation'!$C$21:$C$42,0))*'Scheme cost allocation'!$J$21,'Scheme cost allocation'!$J$21),'Scheme cost allocation'!$J$21)</f>
        <v>0.90850599752846017</v>
      </c>
      <c r="K408" s="47"/>
      <c r="L408" s="169">
        <v>1</v>
      </c>
      <c r="M408" s="175" t="s">
        <v>242</v>
      </c>
      <c r="N408" s="169">
        <v>307869.68896271638</v>
      </c>
      <c r="O408" s="143">
        <f t="shared" si="19"/>
        <v>307869.68896271638</v>
      </c>
      <c r="P408" s="144">
        <f t="shared" si="20"/>
        <v>279701.45887984941</v>
      </c>
    </row>
    <row r="409" spans="3:16" x14ac:dyDescent="0.2">
      <c r="C409" s="145"/>
      <c r="D409" s="164" t="s">
        <v>495</v>
      </c>
      <c r="E409" s="137">
        <v>42543</v>
      </c>
      <c r="F409" s="172" t="str">
        <f t="shared" si="18"/>
        <v>2015-16</v>
      </c>
      <c r="H409" s="173" t="s">
        <v>190</v>
      </c>
      <c r="I409" s="174">
        <v>25184.239534746859</v>
      </c>
      <c r="J409" s="168">
        <f>IF(E409&lt;DATE(2016,1,1),IF(OR(M409="metres",M409="pipe"),INDEX('Scheme cost allocation'!$D$21:$D$42,MATCH(IF(MONTH(E409)&lt;7,YEAR(E409),YEAR(E409)+1),'Scheme cost allocation'!$C$21:$C$42,0))*'Scheme cost allocation'!$J$21,'Scheme cost allocation'!$J$21),'Scheme cost allocation'!$J$21)</f>
        <v>0.90850599752846017</v>
      </c>
      <c r="K409" s="47"/>
      <c r="L409" s="169">
        <v>1</v>
      </c>
      <c r="M409" s="175" t="s">
        <v>242</v>
      </c>
      <c r="N409" s="169">
        <v>2984.5151230755059</v>
      </c>
      <c r="O409" s="143">
        <f t="shared" si="19"/>
        <v>2984.5151230755059</v>
      </c>
      <c r="P409" s="144">
        <f t="shared" si="20"/>
        <v>2711.4498890284876</v>
      </c>
    </row>
    <row r="410" spans="3:16" x14ac:dyDescent="0.2">
      <c r="C410" s="145"/>
      <c r="D410" s="164" t="s">
        <v>496</v>
      </c>
      <c r="E410" s="137">
        <v>42543</v>
      </c>
      <c r="F410" s="172" t="str">
        <f t="shared" si="18"/>
        <v>2015-16</v>
      </c>
      <c r="H410" s="173" t="s">
        <v>190</v>
      </c>
      <c r="I410" s="174">
        <v>25184.239534746859</v>
      </c>
      <c r="J410" s="168">
        <f>IF(E410&lt;DATE(2016,1,1),IF(OR(M410="metres",M410="pipe"),INDEX('Scheme cost allocation'!$D$21:$D$42,MATCH(IF(MONTH(E410)&lt;7,YEAR(E410),YEAR(E410)+1),'Scheme cost allocation'!$C$21:$C$42,0))*'Scheme cost allocation'!$J$21,'Scheme cost allocation'!$J$21),'Scheme cost allocation'!$J$21)</f>
        <v>0.90850599752846017</v>
      </c>
      <c r="K410" s="47"/>
      <c r="L410" s="169">
        <v>1</v>
      </c>
      <c r="M410" s="175" t="s">
        <v>242</v>
      </c>
      <c r="N410" s="169">
        <v>2984.5151230755059</v>
      </c>
      <c r="O410" s="143">
        <f t="shared" si="19"/>
        <v>2984.5151230755059</v>
      </c>
      <c r="P410" s="144">
        <f t="shared" si="20"/>
        <v>2711.4498890284876</v>
      </c>
    </row>
    <row r="411" spans="3:16" x14ac:dyDescent="0.2">
      <c r="C411" s="145"/>
      <c r="D411" s="164" t="s">
        <v>497</v>
      </c>
      <c r="E411" s="137">
        <v>42544</v>
      </c>
      <c r="F411" s="172" t="str">
        <f t="shared" si="18"/>
        <v>2015-16</v>
      </c>
      <c r="H411" s="173" t="s">
        <v>190</v>
      </c>
      <c r="I411" s="174">
        <v>25184.239534746859</v>
      </c>
      <c r="J411" s="168">
        <f>IF(E411&lt;DATE(2016,1,1),IF(OR(M411="metres",M411="pipe"),INDEX('Scheme cost allocation'!$D$21:$D$42,MATCH(IF(MONTH(E411)&lt;7,YEAR(E411),YEAR(E411)+1),'Scheme cost allocation'!$C$21:$C$42,0))*'Scheme cost allocation'!$J$21,'Scheme cost allocation'!$J$21),'Scheme cost allocation'!$J$21)</f>
        <v>0.90850599752846017</v>
      </c>
      <c r="K411" s="47"/>
      <c r="L411" s="169">
        <v>1</v>
      </c>
      <c r="M411" s="175" t="s">
        <v>242</v>
      </c>
      <c r="N411" s="169">
        <v>2984.5151230755059</v>
      </c>
      <c r="O411" s="143">
        <f t="shared" si="19"/>
        <v>2984.5151230755059</v>
      </c>
      <c r="P411" s="144">
        <f t="shared" si="20"/>
        <v>2711.4498890284876</v>
      </c>
    </row>
    <row r="412" spans="3:16" x14ac:dyDescent="0.2">
      <c r="C412" s="145"/>
      <c r="D412" s="164" t="s">
        <v>498</v>
      </c>
      <c r="E412" s="137">
        <v>42544</v>
      </c>
      <c r="F412" s="172" t="str">
        <f t="shared" si="18"/>
        <v>2015-16</v>
      </c>
      <c r="H412" s="173" t="s">
        <v>190</v>
      </c>
      <c r="I412" s="174">
        <v>25184.239534746859</v>
      </c>
      <c r="J412" s="168">
        <f>IF(E412&lt;DATE(2016,1,1),IF(OR(M412="metres",M412="pipe"),INDEX('Scheme cost allocation'!$D$21:$D$42,MATCH(IF(MONTH(E412)&lt;7,YEAR(E412),YEAR(E412)+1),'Scheme cost allocation'!$C$21:$C$42,0))*'Scheme cost allocation'!$J$21,'Scheme cost allocation'!$J$21),'Scheme cost allocation'!$J$21)</f>
        <v>0.90850599752846017</v>
      </c>
      <c r="K412" s="47"/>
      <c r="L412" s="169">
        <v>1</v>
      </c>
      <c r="M412" s="175" t="s">
        <v>242</v>
      </c>
      <c r="N412" s="169">
        <v>2984.5151230755059</v>
      </c>
      <c r="O412" s="143">
        <f t="shared" si="19"/>
        <v>2984.5151230755059</v>
      </c>
      <c r="P412" s="144">
        <f t="shared" si="20"/>
        <v>2711.4498890284876</v>
      </c>
    </row>
    <row r="413" spans="3:16" x14ac:dyDescent="0.2">
      <c r="C413" s="145"/>
      <c r="D413" s="164" t="s">
        <v>499</v>
      </c>
      <c r="E413" s="137">
        <v>42544</v>
      </c>
      <c r="F413" s="172" t="str">
        <f t="shared" si="18"/>
        <v>2015-16</v>
      </c>
      <c r="H413" s="173" t="s">
        <v>190</v>
      </c>
      <c r="I413" s="174">
        <v>25184.239534746859</v>
      </c>
      <c r="J413" s="168">
        <f>IF(E413&lt;DATE(2016,1,1),IF(OR(M413="metres",M413="pipe"),INDEX('Scheme cost allocation'!$D$21:$D$42,MATCH(IF(MONTH(E413)&lt;7,YEAR(E413),YEAR(E413)+1),'Scheme cost allocation'!$C$21:$C$42,0))*'Scheme cost allocation'!$J$21,'Scheme cost allocation'!$J$21),'Scheme cost allocation'!$J$21)</f>
        <v>0.90850599752846017</v>
      </c>
      <c r="K413" s="47"/>
      <c r="L413" s="169">
        <v>1</v>
      </c>
      <c r="M413" s="175" t="s">
        <v>242</v>
      </c>
      <c r="N413" s="169">
        <v>2984.5151230755059</v>
      </c>
      <c r="O413" s="143">
        <f t="shared" si="19"/>
        <v>2984.5151230755059</v>
      </c>
      <c r="P413" s="144">
        <f t="shared" si="20"/>
        <v>2711.4498890284876</v>
      </c>
    </row>
    <row r="414" spans="3:16" x14ac:dyDescent="0.2">
      <c r="C414" s="145"/>
      <c r="D414" s="164" t="s">
        <v>500</v>
      </c>
      <c r="E414" s="137">
        <v>42544</v>
      </c>
      <c r="F414" s="172" t="str">
        <f t="shared" si="18"/>
        <v>2015-16</v>
      </c>
      <c r="H414" s="173" t="s">
        <v>190</v>
      </c>
      <c r="I414" s="174">
        <v>25184.239534746859</v>
      </c>
      <c r="J414" s="168">
        <f>IF(E414&lt;DATE(2016,1,1),IF(OR(M414="metres",M414="pipe"),INDEX('Scheme cost allocation'!$D$21:$D$42,MATCH(IF(MONTH(E414)&lt;7,YEAR(E414),YEAR(E414)+1),'Scheme cost allocation'!$C$21:$C$42,0))*'Scheme cost allocation'!$J$21,'Scheme cost allocation'!$J$21),'Scheme cost allocation'!$J$21)</f>
        <v>0.90850599752846017</v>
      </c>
      <c r="K414" s="47"/>
      <c r="L414" s="169">
        <v>1</v>
      </c>
      <c r="M414" s="175" t="s">
        <v>242</v>
      </c>
      <c r="N414" s="169">
        <v>2984.5151230755059</v>
      </c>
      <c r="O414" s="143">
        <f t="shared" si="19"/>
        <v>2984.5151230755059</v>
      </c>
      <c r="P414" s="144">
        <f t="shared" si="20"/>
        <v>2711.4498890284876</v>
      </c>
    </row>
    <row r="415" spans="3:16" x14ac:dyDescent="0.2">
      <c r="C415" s="145"/>
      <c r="D415" s="164" t="s">
        <v>501</v>
      </c>
      <c r="E415" s="137">
        <v>42545</v>
      </c>
      <c r="F415" s="172" t="str">
        <f t="shared" si="18"/>
        <v>2015-16</v>
      </c>
      <c r="H415" s="173" t="s">
        <v>190</v>
      </c>
      <c r="I415" s="174">
        <v>25184.239534746859</v>
      </c>
      <c r="J415" s="168">
        <f>IF(E415&lt;DATE(2016,1,1),IF(OR(M415="metres",M415="pipe"),INDEX('Scheme cost allocation'!$D$21:$D$42,MATCH(IF(MONTH(E415)&lt;7,YEAR(E415),YEAR(E415)+1),'Scheme cost allocation'!$C$21:$C$42,0))*'Scheme cost allocation'!$J$21,'Scheme cost allocation'!$J$21),'Scheme cost allocation'!$J$21)</f>
        <v>0.90850599752846017</v>
      </c>
      <c r="K415" s="47"/>
      <c r="L415" s="169">
        <v>1</v>
      </c>
      <c r="M415" s="175" t="s">
        <v>242</v>
      </c>
      <c r="N415" s="169">
        <v>305396.96912246774</v>
      </c>
      <c r="O415" s="143">
        <f t="shared" si="19"/>
        <v>305396.96912246774</v>
      </c>
      <c r="P415" s="144">
        <f t="shared" si="20"/>
        <v>277454.97807477589</v>
      </c>
    </row>
    <row r="416" spans="3:16" x14ac:dyDescent="0.2">
      <c r="C416" s="145"/>
      <c r="D416" s="164" t="s">
        <v>502</v>
      </c>
      <c r="E416" s="137">
        <v>42585</v>
      </c>
      <c r="F416" s="172" t="str">
        <f t="shared" si="18"/>
        <v>2016-17</v>
      </c>
      <c r="H416" s="173" t="s">
        <v>190</v>
      </c>
      <c r="I416" s="174">
        <v>25184.239534746859</v>
      </c>
      <c r="J416" s="168">
        <f>IF(E416&lt;DATE(2016,1,1),IF(OR(M416="metres",M416="pipe"),INDEX('Scheme cost allocation'!$D$21:$D$42,MATCH(IF(MONTH(E416)&lt;7,YEAR(E416),YEAR(E416)+1),'Scheme cost allocation'!$C$21:$C$42,0))*'Scheme cost allocation'!$J$21,'Scheme cost allocation'!$J$21),'Scheme cost allocation'!$J$21)</f>
        <v>0.90850599752846017</v>
      </c>
      <c r="K416" s="47"/>
      <c r="L416" s="169">
        <v>1</v>
      </c>
      <c r="M416" s="175" t="s">
        <v>242</v>
      </c>
      <c r="N416" s="169">
        <v>309137.52150579524</v>
      </c>
      <c r="O416" s="143">
        <f t="shared" si="19"/>
        <v>309137.52150579524</v>
      </c>
      <c r="P416" s="144">
        <f t="shared" si="20"/>
        <v>280853.29234909831</v>
      </c>
    </row>
    <row r="417" spans="3:16" x14ac:dyDescent="0.2">
      <c r="C417" s="145"/>
      <c r="D417" s="164" t="s">
        <v>503</v>
      </c>
      <c r="E417" s="137">
        <v>42585</v>
      </c>
      <c r="F417" s="172" t="str">
        <f t="shared" si="18"/>
        <v>2016-17</v>
      </c>
      <c r="H417" s="173" t="s">
        <v>190</v>
      </c>
      <c r="I417" s="174">
        <v>25184.239534746859</v>
      </c>
      <c r="J417" s="168">
        <f>IF(E417&lt;DATE(2016,1,1),IF(OR(M417="metres",M417="pipe"),INDEX('Scheme cost allocation'!$D$21:$D$42,MATCH(IF(MONTH(E417)&lt;7,YEAR(E417),YEAR(E417)+1),'Scheme cost allocation'!$C$21:$C$42,0))*'Scheme cost allocation'!$J$21,'Scheme cost allocation'!$J$21),'Scheme cost allocation'!$J$21)</f>
        <v>0.90850599752846017</v>
      </c>
      <c r="K417" s="47"/>
      <c r="L417" s="169">
        <v>1</v>
      </c>
      <c r="M417" s="175" t="s">
        <v>242</v>
      </c>
      <c r="N417" s="169">
        <v>606157.0675204203</v>
      </c>
      <c r="O417" s="143">
        <f t="shared" si="19"/>
        <v>606157.0675204203</v>
      </c>
      <c r="P417" s="144">
        <f t="shared" si="20"/>
        <v>550697.33128656563</v>
      </c>
    </row>
    <row r="418" spans="3:16" x14ac:dyDescent="0.2">
      <c r="C418" s="145"/>
      <c r="D418" s="164" t="s">
        <v>504</v>
      </c>
      <c r="E418" s="137">
        <v>42705</v>
      </c>
      <c r="F418" s="172" t="str">
        <f t="shared" si="18"/>
        <v>2016-17</v>
      </c>
      <c r="H418" s="173" t="s">
        <v>190</v>
      </c>
      <c r="I418" s="174">
        <v>25184.239534746859</v>
      </c>
      <c r="J418" s="168">
        <f>IF(E418&lt;DATE(2016,1,1),IF(OR(M418="metres",M418="pipe"),INDEX('Scheme cost allocation'!$D$21:$D$42,MATCH(IF(MONTH(E418)&lt;7,YEAR(E418),YEAR(E418)+1),'Scheme cost allocation'!$C$21:$C$42,0))*'Scheme cost allocation'!$J$21,'Scheme cost allocation'!$J$21),'Scheme cost allocation'!$J$21)</f>
        <v>0.90850599752846017</v>
      </c>
      <c r="K418" s="47"/>
      <c r="L418" s="169">
        <v>1</v>
      </c>
      <c r="M418" s="175" t="s">
        <v>242</v>
      </c>
      <c r="N418" s="169">
        <v>733003.18877795443</v>
      </c>
      <c r="O418" s="143">
        <f t="shared" si="19"/>
        <v>733003.18877795443</v>
      </c>
      <c r="P418" s="144">
        <f t="shared" si="20"/>
        <v>665937.79321225767</v>
      </c>
    </row>
    <row r="419" spans="3:16" x14ac:dyDescent="0.2">
      <c r="C419" s="145"/>
      <c r="D419" s="164" t="s">
        <v>505</v>
      </c>
      <c r="E419" s="137">
        <v>42705</v>
      </c>
      <c r="F419" s="172" t="str">
        <f t="shared" si="18"/>
        <v>2016-17</v>
      </c>
      <c r="H419" s="173" t="s">
        <v>190</v>
      </c>
      <c r="I419" s="174">
        <v>25184.239534746859</v>
      </c>
      <c r="J419" s="168">
        <f>IF(E419&lt;DATE(2016,1,1),IF(OR(M419="metres",M419="pipe"),INDEX('Scheme cost allocation'!$D$21:$D$42,MATCH(IF(MONTH(E419)&lt;7,YEAR(E419),YEAR(E419)+1),'Scheme cost allocation'!$C$21:$C$42,0))*'Scheme cost allocation'!$J$21,'Scheme cost allocation'!$J$21),'Scheme cost allocation'!$J$21)</f>
        <v>0.90850599752846017</v>
      </c>
      <c r="K419" s="47"/>
      <c r="L419" s="169">
        <v>1</v>
      </c>
      <c r="M419" s="175" t="s">
        <v>242</v>
      </c>
      <c r="N419" s="169">
        <v>757573.32468704542</v>
      </c>
      <c r="O419" s="143">
        <f t="shared" si="19"/>
        <v>757573.32468704542</v>
      </c>
      <c r="P419" s="144">
        <f t="shared" si="20"/>
        <v>688259.90904575621</v>
      </c>
    </row>
    <row r="420" spans="3:16" x14ac:dyDescent="0.2">
      <c r="C420" s="145"/>
      <c r="D420" s="164" t="s">
        <v>506</v>
      </c>
      <c r="E420" s="137">
        <v>42717</v>
      </c>
      <c r="F420" s="172" t="str">
        <f t="shared" si="18"/>
        <v>2016-17</v>
      </c>
      <c r="H420" s="173" t="s">
        <v>190</v>
      </c>
      <c r="I420" s="174">
        <v>25184.239534746859</v>
      </c>
      <c r="J420" s="168">
        <f>IF(E420&lt;DATE(2016,1,1),IF(OR(M420="metres",M420="pipe"),INDEX('Scheme cost allocation'!$D$21:$D$42,MATCH(IF(MONTH(E420)&lt;7,YEAR(E420),YEAR(E420)+1),'Scheme cost allocation'!$C$21:$C$42,0))*'Scheme cost allocation'!$J$21,'Scheme cost allocation'!$J$21),'Scheme cost allocation'!$J$21)</f>
        <v>0.90850599752846017</v>
      </c>
      <c r="K420" s="47"/>
      <c r="L420" s="169">
        <v>1</v>
      </c>
      <c r="M420" s="175" t="s">
        <v>242</v>
      </c>
      <c r="N420" s="169">
        <v>1211719.3762656271</v>
      </c>
      <c r="O420" s="143">
        <f t="shared" si="19"/>
        <v>1211719.3762656271</v>
      </c>
      <c r="P420" s="144">
        <f t="shared" si="20"/>
        <v>1100854.3206587671</v>
      </c>
    </row>
    <row r="421" spans="3:16" x14ac:dyDescent="0.2">
      <c r="C421" s="145"/>
      <c r="D421" s="164" t="s">
        <v>507</v>
      </c>
      <c r="E421" s="137">
        <v>42818</v>
      </c>
      <c r="F421" s="172" t="str">
        <f t="shared" si="18"/>
        <v>2016-17</v>
      </c>
      <c r="H421" s="173" t="s">
        <v>190</v>
      </c>
      <c r="I421" s="174">
        <v>25184.239534746859</v>
      </c>
      <c r="J421" s="168">
        <f>IF(E421&lt;DATE(2016,1,1),IF(OR(M421="metres",M421="pipe"),INDEX('Scheme cost allocation'!$D$21:$D$42,MATCH(IF(MONTH(E421)&lt;7,YEAR(E421),YEAR(E421)+1),'Scheme cost allocation'!$C$21:$C$42,0))*'Scheme cost allocation'!$J$21,'Scheme cost allocation'!$J$21),'Scheme cost allocation'!$J$21)</f>
        <v>0.90850599752846017</v>
      </c>
      <c r="K421" s="47"/>
      <c r="L421" s="169">
        <v>1</v>
      </c>
      <c r="M421" s="175" t="s">
        <v>242</v>
      </c>
      <c r="N421" s="169">
        <v>241452.5879450588</v>
      </c>
      <c r="O421" s="143">
        <f t="shared" si="19"/>
        <v>241452.5879450588</v>
      </c>
      <c r="P421" s="144">
        <f t="shared" si="20"/>
        <v>219361.12426685391</v>
      </c>
    </row>
    <row r="422" spans="3:16" x14ac:dyDescent="0.2">
      <c r="C422" s="145"/>
      <c r="D422" s="164" t="s">
        <v>508</v>
      </c>
      <c r="E422" s="137">
        <v>42858</v>
      </c>
      <c r="F422" s="172" t="str">
        <f t="shared" si="18"/>
        <v>2016-17</v>
      </c>
      <c r="H422" s="173" t="s">
        <v>190</v>
      </c>
      <c r="I422" s="174">
        <v>25184.239534746859</v>
      </c>
      <c r="J422" s="168">
        <f>IF(E422&lt;DATE(2016,1,1),IF(OR(M422="metres",M422="pipe"),INDEX('Scheme cost allocation'!$D$21:$D$42,MATCH(IF(MONTH(E422)&lt;7,YEAR(E422),YEAR(E422)+1),'Scheme cost allocation'!$C$21:$C$42,0))*'Scheme cost allocation'!$J$21,'Scheme cost allocation'!$J$21),'Scheme cost allocation'!$J$21)</f>
        <v>0.90850599752846017</v>
      </c>
      <c r="K422" s="47"/>
      <c r="L422" s="169">
        <v>1</v>
      </c>
      <c r="M422" s="175" t="s">
        <v>242</v>
      </c>
      <c r="N422" s="169">
        <v>2241.6981217163502</v>
      </c>
      <c r="O422" s="143">
        <f t="shared" si="19"/>
        <v>2241.6981217163502</v>
      </c>
      <c r="P422" s="144">
        <f t="shared" si="20"/>
        <v>2036.5961882275883</v>
      </c>
    </row>
    <row r="423" spans="3:16" x14ac:dyDescent="0.2">
      <c r="C423" s="145"/>
      <c r="D423" s="164" t="s">
        <v>509</v>
      </c>
      <c r="E423" s="137">
        <v>42858</v>
      </c>
      <c r="F423" s="172" t="str">
        <f t="shared" si="18"/>
        <v>2016-17</v>
      </c>
      <c r="H423" s="173" t="s">
        <v>190</v>
      </c>
      <c r="I423" s="174">
        <v>25184.239534746859</v>
      </c>
      <c r="J423" s="168">
        <f>IF(E423&lt;DATE(2016,1,1),IF(OR(M423="metres",M423="pipe"),INDEX('Scheme cost allocation'!$D$21:$D$42,MATCH(IF(MONTH(E423)&lt;7,YEAR(E423),YEAR(E423)+1),'Scheme cost allocation'!$C$21:$C$42,0))*'Scheme cost allocation'!$J$21,'Scheme cost allocation'!$J$21),'Scheme cost allocation'!$J$21)</f>
        <v>0.90850599752846017</v>
      </c>
      <c r="K423" s="47"/>
      <c r="L423" s="169">
        <v>1</v>
      </c>
      <c r="M423" s="175" t="s">
        <v>242</v>
      </c>
      <c r="N423" s="169">
        <v>2241.6981217163502</v>
      </c>
      <c r="O423" s="143">
        <f t="shared" si="19"/>
        <v>2241.6981217163502</v>
      </c>
      <c r="P423" s="144">
        <f t="shared" si="20"/>
        <v>2036.5961882275883</v>
      </c>
    </row>
    <row r="424" spans="3:16" x14ac:dyDescent="0.2">
      <c r="C424" s="145"/>
      <c r="D424" s="164" t="s">
        <v>510</v>
      </c>
      <c r="E424" s="137">
        <v>42858</v>
      </c>
      <c r="F424" s="172" t="str">
        <f t="shared" si="18"/>
        <v>2016-17</v>
      </c>
      <c r="H424" s="173" t="s">
        <v>190</v>
      </c>
      <c r="I424" s="174">
        <v>25184.239534746859</v>
      </c>
      <c r="J424" s="168">
        <f>IF(E424&lt;DATE(2016,1,1),IF(OR(M424="metres",M424="pipe"),INDEX('Scheme cost allocation'!$D$21:$D$42,MATCH(IF(MONTH(E424)&lt;7,YEAR(E424),YEAR(E424)+1),'Scheme cost allocation'!$C$21:$C$42,0))*'Scheme cost allocation'!$J$21,'Scheme cost allocation'!$J$21),'Scheme cost allocation'!$J$21)</f>
        <v>0.90850599752846017</v>
      </c>
      <c r="K424" s="47"/>
      <c r="L424" s="169">
        <v>1</v>
      </c>
      <c r="M424" s="175" t="s">
        <v>242</v>
      </c>
      <c r="N424" s="169">
        <v>2241.6981217163502</v>
      </c>
      <c r="O424" s="143">
        <f t="shared" si="19"/>
        <v>2241.6981217163502</v>
      </c>
      <c r="P424" s="144">
        <f t="shared" si="20"/>
        <v>2036.5961882275883</v>
      </c>
    </row>
    <row r="425" spans="3:16" x14ac:dyDescent="0.2">
      <c r="C425" s="145"/>
      <c r="D425" s="164" t="s">
        <v>511</v>
      </c>
      <c r="E425" s="137">
        <v>42858</v>
      </c>
      <c r="F425" s="172" t="str">
        <f t="shared" ref="F425:F465" si="21">IF(E425="","-",IF(OR(E425&lt;$E$15,E425&gt;$E$16),"ERROR - date outside of range",IF(MONTH(E425)&gt;=7,YEAR(E425)&amp;"-"&amp;IF(YEAR(E425)=1999,"00",IF(AND(YEAR(E425)&gt;=2000,YEAR(E425)&lt;2009),"0","")&amp;RIGHT(YEAR(E425),2)+1),RIGHT(YEAR(E425),4)-1&amp;"-"&amp;RIGHT(YEAR(E425),2))))</f>
        <v>2016-17</v>
      </c>
      <c r="H425" s="173" t="s">
        <v>190</v>
      </c>
      <c r="I425" s="174">
        <v>25184.239534746859</v>
      </c>
      <c r="J425" s="168">
        <f>IF(E425&lt;DATE(2016,1,1),IF(OR(M425="metres",M425="pipe"),INDEX('Scheme cost allocation'!$D$21:$D$42,MATCH(IF(MONTH(E425)&lt;7,YEAR(E425),YEAR(E425)+1),'Scheme cost allocation'!$C$21:$C$42,0))*'Scheme cost allocation'!$J$21,'Scheme cost allocation'!$J$21),'Scheme cost allocation'!$J$21)</f>
        <v>0.90850599752846017</v>
      </c>
      <c r="K425" s="47"/>
      <c r="L425" s="169">
        <v>1</v>
      </c>
      <c r="M425" s="175" t="s">
        <v>242</v>
      </c>
      <c r="N425" s="169">
        <v>2241.6981217163502</v>
      </c>
      <c r="O425" s="143">
        <f t="shared" si="19"/>
        <v>2241.6981217163502</v>
      </c>
      <c r="P425" s="144">
        <f t="shared" si="20"/>
        <v>2036.5961882275883</v>
      </c>
    </row>
    <row r="426" spans="3:16" x14ac:dyDescent="0.2">
      <c r="C426" s="145"/>
      <c r="D426" s="164" t="s">
        <v>512</v>
      </c>
      <c r="E426" s="137">
        <v>42858</v>
      </c>
      <c r="F426" s="172" t="str">
        <f t="shared" si="21"/>
        <v>2016-17</v>
      </c>
      <c r="H426" s="173" t="s">
        <v>190</v>
      </c>
      <c r="I426" s="174">
        <v>25184.239534746859</v>
      </c>
      <c r="J426" s="168">
        <f>IF(E426&lt;DATE(2016,1,1),IF(OR(M426="metres",M426="pipe"),INDEX('Scheme cost allocation'!$D$21:$D$42,MATCH(IF(MONTH(E426)&lt;7,YEAR(E426),YEAR(E426)+1),'Scheme cost allocation'!$C$21:$C$42,0))*'Scheme cost allocation'!$J$21,'Scheme cost allocation'!$J$21),'Scheme cost allocation'!$J$21)</f>
        <v>0.90850599752846017</v>
      </c>
      <c r="K426" s="47"/>
      <c r="L426" s="169">
        <v>1</v>
      </c>
      <c r="M426" s="175" t="s">
        <v>242</v>
      </c>
      <c r="N426" s="169">
        <v>2241.6981217163502</v>
      </c>
      <c r="O426" s="143">
        <f t="shared" si="19"/>
        <v>2241.6981217163502</v>
      </c>
      <c r="P426" s="144">
        <f t="shared" si="20"/>
        <v>2036.5961882275883</v>
      </c>
    </row>
    <row r="427" spans="3:16" x14ac:dyDescent="0.2">
      <c r="C427" s="145"/>
      <c r="D427" s="164" t="s">
        <v>513</v>
      </c>
      <c r="E427" s="137">
        <v>42858</v>
      </c>
      <c r="F427" s="172" t="str">
        <f t="shared" si="21"/>
        <v>2016-17</v>
      </c>
      <c r="H427" s="173" t="s">
        <v>190</v>
      </c>
      <c r="I427" s="174">
        <v>25184.239534746859</v>
      </c>
      <c r="J427" s="168">
        <f>IF(E427&lt;DATE(2016,1,1),IF(OR(M427="metres",M427="pipe"),INDEX('Scheme cost allocation'!$D$21:$D$42,MATCH(IF(MONTH(E427)&lt;7,YEAR(E427),YEAR(E427)+1),'Scheme cost allocation'!$C$21:$C$42,0))*'Scheme cost allocation'!$J$21,'Scheme cost allocation'!$J$21),'Scheme cost allocation'!$J$21)</f>
        <v>0.90850599752846017</v>
      </c>
      <c r="K427" s="47"/>
      <c r="L427" s="169">
        <v>1</v>
      </c>
      <c r="M427" s="175" t="s">
        <v>242</v>
      </c>
      <c r="N427" s="169">
        <v>2241.6981217163502</v>
      </c>
      <c r="O427" s="143">
        <f t="shared" si="19"/>
        <v>2241.6981217163502</v>
      </c>
      <c r="P427" s="144">
        <f t="shared" si="20"/>
        <v>2036.5961882275883</v>
      </c>
    </row>
    <row r="428" spans="3:16" x14ac:dyDescent="0.2">
      <c r="C428" s="145"/>
      <c r="D428" s="164" t="s">
        <v>514</v>
      </c>
      <c r="E428" s="137">
        <v>42858</v>
      </c>
      <c r="F428" s="172" t="str">
        <f t="shared" si="21"/>
        <v>2016-17</v>
      </c>
      <c r="H428" s="173" t="s">
        <v>190</v>
      </c>
      <c r="I428" s="174">
        <v>25184.239534746859</v>
      </c>
      <c r="J428" s="168">
        <f>IF(E428&lt;DATE(2016,1,1),IF(OR(M428="metres",M428="pipe"),INDEX('Scheme cost allocation'!$D$21:$D$42,MATCH(IF(MONTH(E428)&lt;7,YEAR(E428),YEAR(E428)+1),'Scheme cost allocation'!$C$21:$C$42,0))*'Scheme cost allocation'!$J$21,'Scheme cost allocation'!$J$21),'Scheme cost allocation'!$J$21)</f>
        <v>0.90850599752846017</v>
      </c>
      <c r="K428" s="47"/>
      <c r="L428" s="169">
        <v>1</v>
      </c>
      <c r="M428" s="175" t="s">
        <v>242</v>
      </c>
      <c r="N428" s="169">
        <v>2241.6981217163502</v>
      </c>
      <c r="O428" s="143">
        <f t="shared" si="19"/>
        <v>2241.6981217163502</v>
      </c>
      <c r="P428" s="144">
        <f t="shared" si="20"/>
        <v>2036.5961882275883</v>
      </c>
    </row>
    <row r="429" spans="3:16" x14ac:dyDescent="0.2">
      <c r="C429" s="145"/>
      <c r="D429" s="164" t="s">
        <v>515</v>
      </c>
      <c r="E429" s="137">
        <v>42858</v>
      </c>
      <c r="F429" s="172" t="str">
        <f t="shared" si="21"/>
        <v>2016-17</v>
      </c>
      <c r="H429" s="173" t="s">
        <v>190</v>
      </c>
      <c r="I429" s="174">
        <v>25184.239534746859</v>
      </c>
      <c r="J429" s="168">
        <f>IF(E429&lt;DATE(2016,1,1),IF(OR(M429="metres",M429="pipe"),INDEX('Scheme cost allocation'!$D$21:$D$42,MATCH(IF(MONTH(E429)&lt;7,YEAR(E429),YEAR(E429)+1),'Scheme cost allocation'!$C$21:$C$42,0))*'Scheme cost allocation'!$J$21,'Scheme cost allocation'!$J$21),'Scheme cost allocation'!$J$21)</f>
        <v>0.90850599752846017</v>
      </c>
      <c r="K429" s="47"/>
      <c r="L429" s="169">
        <v>1</v>
      </c>
      <c r="M429" s="175" t="s">
        <v>242</v>
      </c>
      <c r="N429" s="169">
        <v>2241.6981217163502</v>
      </c>
      <c r="O429" s="143">
        <f t="shared" si="19"/>
        <v>2241.6981217163502</v>
      </c>
      <c r="P429" s="144">
        <f t="shared" si="20"/>
        <v>2036.5961882275883</v>
      </c>
    </row>
    <row r="430" spans="3:16" x14ac:dyDescent="0.2">
      <c r="C430" s="145"/>
      <c r="D430" s="164" t="s">
        <v>516</v>
      </c>
      <c r="E430" s="137">
        <v>42858</v>
      </c>
      <c r="F430" s="172" t="str">
        <f t="shared" si="21"/>
        <v>2016-17</v>
      </c>
      <c r="H430" s="173" t="s">
        <v>190</v>
      </c>
      <c r="I430" s="174">
        <v>25184.239534746859</v>
      </c>
      <c r="J430" s="168">
        <f>IF(E430&lt;DATE(2016,1,1),IF(OR(M430="metres",M430="pipe"),INDEX('Scheme cost allocation'!$D$21:$D$42,MATCH(IF(MONTH(E430)&lt;7,YEAR(E430),YEAR(E430)+1),'Scheme cost allocation'!$C$21:$C$42,0))*'Scheme cost allocation'!$J$21,'Scheme cost allocation'!$J$21),'Scheme cost allocation'!$J$21)</f>
        <v>0.90850599752846017</v>
      </c>
      <c r="K430" s="47"/>
      <c r="L430" s="169">
        <v>1</v>
      </c>
      <c r="M430" s="175" t="s">
        <v>242</v>
      </c>
      <c r="N430" s="169">
        <v>2241.6981217163502</v>
      </c>
      <c r="O430" s="143">
        <f t="shared" si="19"/>
        <v>2241.6981217163502</v>
      </c>
      <c r="P430" s="144">
        <f t="shared" si="20"/>
        <v>2036.5961882275883</v>
      </c>
    </row>
    <row r="431" spans="3:16" x14ac:dyDescent="0.2">
      <c r="C431" s="145"/>
      <c r="D431" s="164" t="s">
        <v>517</v>
      </c>
      <c r="E431" s="137">
        <v>42885</v>
      </c>
      <c r="F431" s="172" t="str">
        <f t="shared" si="21"/>
        <v>2016-17</v>
      </c>
      <c r="H431" s="173" t="s">
        <v>190</v>
      </c>
      <c r="I431" s="174">
        <v>25184.239534746859</v>
      </c>
      <c r="J431" s="168">
        <f>IF(E431&lt;DATE(2016,1,1),IF(OR(M431="metres",M431="pipe"),INDEX('Scheme cost allocation'!$D$21:$D$42,MATCH(IF(MONTH(E431)&lt;7,YEAR(E431),YEAR(E431)+1),'Scheme cost allocation'!$C$21:$C$42,0))*'Scheme cost allocation'!$J$21,'Scheme cost allocation'!$J$21),'Scheme cost allocation'!$J$21)</f>
        <v>0.90850599752846017</v>
      </c>
      <c r="K431" s="47"/>
      <c r="L431" s="169">
        <v>1</v>
      </c>
      <c r="M431" s="175" t="s">
        <v>242</v>
      </c>
      <c r="N431" s="169">
        <v>2241.6981217163502</v>
      </c>
      <c r="O431" s="143">
        <f t="shared" si="19"/>
        <v>2241.6981217163502</v>
      </c>
      <c r="P431" s="144">
        <f t="shared" si="20"/>
        <v>2036.5961882275883</v>
      </c>
    </row>
    <row r="432" spans="3:16" x14ac:dyDescent="0.2">
      <c r="C432" s="145"/>
      <c r="D432" s="164" t="s">
        <v>518</v>
      </c>
      <c r="E432" s="137">
        <v>42886</v>
      </c>
      <c r="F432" s="172" t="str">
        <f t="shared" si="21"/>
        <v>2016-17</v>
      </c>
      <c r="H432" s="173" t="s">
        <v>190</v>
      </c>
      <c r="I432" s="174">
        <v>25184.239534746859</v>
      </c>
      <c r="J432" s="168">
        <f>IF(E432&lt;DATE(2016,1,1),IF(OR(M432="metres",M432="pipe"),INDEX('Scheme cost allocation'!$D$21:$D$42,MATCH(IF(MONTH(E432)&lt;7,YEAR(E432),YEAR(E432)+1),'Scheme cost allocation'!$C$21:$C$42,0))*'Scheme cost allocation'!$J$21,'Scheme cost allocation'!$J$21),'Scheme cost allocation'!$J$21)</f>
        <v>0.90850599752846017</v>
      </c>
      <c r="K432" s="47"/>
      <c r="L432" s="169">
        <v>1</v>
      </c>
      <c r="M432" s="175" t="s">
        <v>242</v>
      </c>
      <c r="N432" s="169">
        <v>1391.3910978952122</v>
      </c>
      <c r="O432" s="143">
        <f t="shared" si="19"/>
        <v>1391.3910978952122</v>
      </c>
      <c r="P432" s="144">
        <f t="shared" si="20"/>
        <v>1264.087157345509</v>
      </c>
    </row>
    <row r="433" spans="3:16" x14ac:dyDescent="0.2">
      <c r="C433" s="145"/>
      <c r="D433" s="164" t="s">
        <v>519</v>
      </c>
      <c r="E433" s="137">
        <v>42886</v>
      </c>
      <c r="F433" s="172" t="str">
        <f t="shared" si="21"/>
        <v>2016-17</v>
      </c>
      <c r="H433" s="173" t="s">
        <v>190</v>
      </c>
      <c r="I433" s="174">
        <v>25184.239534746859</v>
      </c>
      <c r="J433" s="168">
        <f>IF(E433&lt;DATE(2016,1,1),IF(OR(M433="metres",M433="pipe"),INDEX('Scheme cost allocation'!$D$21:$D$42,MATCH(IF(MONTH(E433)&lt;7,YEAR(E433),YEAR(E433)+1),'Scheme cost allocation'!$C$21:$C$42,0))*'Scheme cost allocation'!$J$21,'Scheme cost allocation'!$J$21),'Scheme cost allocation'!$J$21)</f>
        <v>0.90850599752846017</v>
      </c>
      <c r="K433" s="47"/>
      <c r="L433" s="169">
        <v>1</v>
      </c>
      <c r="M433" s="175" t="s">
        <v>242</v>
      </c>
      <c r="N433" s="169">
        <v>1391.3910978952122</v>
      </c>
      <c r="O433" s="143">
        <f t="shared" si="19"/>
        <v>1391.3910978952122</v>
      </c>
      <c r="P433" s="144">
        <f t="shared" si="20"/>
        <v>1264.087157345509</v>
      </c>
    </row>
    <row r="434" spans="3:16" x14ac:dyDescent="0.2">
      <c r="C434" s="145"/>
      <c r="D434" s="164" t="s">
        <v>520</v>
      </c>
      <c r="E434" s="137">
        <v>42886</v>
      </c>
      <c r="F434" s="172" t="str">
        <f t="shared" si="21"/>
        <v>2016-17</v>
      </c>
      <c r="H434" s="173" t="s">
        <v>190</v>
      </c>
      <c r="I434" s="174">
        <v>25184.239534746859</v>
      </c>
      <c r="J434" s="168">
        <f>IF(E434&lt;DATE(2016,1,1),IF(OR(M434="metres",M434="pipe"),INDEX('Scheme cost allocation'!$D$21:$D$42,MATCH(IF(MONTH(E434)&lt;7,YEAR(E434),YEAR(E434)+1),'Scheme cost allocation'!$C$21:$C$42,0))*'Scheme cost allocation'!$J$21,'Scheme cost allocation'!$J$21),'Scheme cost allocation'!$J$21)</f>
        <v>0.90850599752846017</v>
      </c>
      <c r="K434" s="47"/>
      <c r="L434" s="169">
        <v>1</v>
      </c>
      <c r="M434" s="175" t="s">
        <v>242</v>
      </c>
      <c r="N434" s="169">
        <v>1391.3910978952122</v>
      </c>
      <c r="O434" s="143">
        <f t="shared" si="19"/>
        <v>1391.3910978952122</v>
      </c>
      <c r="P434" s="144">
        <f t="shared" si="20"/>
        <v>1264.087157345509</v>
      </c>
    </row>
    <row r="435" spans="3:16" x14ac:dyDescent="0.2">
      <c r="C435" s="145"/>
      <c r="D435" s="164" t="s">
        <v>521</v>
      </c>
      <c r="E435" s="137">
        <v>42886</v>
      </c>
      <c r="F435" s="172" t="str">
        <f t="shared" si="21"/>
        <v>2016-17</v>
      </c>
      <c r="H435" s="173" t="s">
        <v>190</v>
      </c>
      <c r="I435" s="174">
        <v>25184.239534746859</v>
      </c>
      <c r="J435" s="168">
        <f>IF(E435&lt;DATE(2016,1,1),IF(OR(M435="metres",M435="pipe"),INDEX('Scheme cost allocation'!$D$21:$D$42,MATCH(IF(MONTH(E435)&lt;7,YEAR(E435),YEAR(E435)+1),'Scheme cost allocation'!$C$21:$C$42,0))*'Scheme cost allocation'!$J$21,'Scheme cost allocation'!$J$21),'Scheme cost allocation'!$J$21)</f>
        <v>0.90850599752846017</v>
      </c>
      <c r="K435" s="47"/>
      <c r="L435" s="169">
        <v>1</v>
      </c>
      <c r="M435" s="175" t="s">
        <v>242</v>
      </c>
      <c r="N435" s="169">
        <v>1391.3910978952122</v>
      </c>
      <c r="O435" s="143">
        <f t="shared" si="19"/>
        <v>1391.3910978952122</v>
      </c>
      <c r="P435" s="144">
        <f t="shared" si="20"/>
        <v>1264.087157345509</v>
      </c>
    </row>
    <row r="436" spans="3:16" x14ac:dyDescent="0.2">
      <c r="C436" s="145"/>
      <c r="D436" s="164" t="s">
        <v>522</v>
      </c>
      <c r="E436" s="137">
        <v>42886</v>
      </c>
      <c r="F436" s="172" t="str">
        <f t="shared" si="21"/>
        <v>2016-17</v>
      </c>
      <c r="H436" s="173" t="s">
        <v>190</v>
      </c>
      <c r="I436" s="174">
        <v>25184.239534746859</v>
      </c>
      <c r="J436" s="168">
        <f>IF(E436&lt;DATE(2016,1,1),IF(OR(M436="metres",M436="pipe"),INDEX('Scheme cost allocation'!$D$21:$D$42,MATCH(IF(MONTH(E436)&lt;7,YEAR(E436),YEAR(E436)+1),'Scheme cost allocation'!$C$21:$C$42,0))*'Scheme cost allocation'!$J$21,'Scheme cost allocation'!$J$21),'Scheme cost allocation'!$J$21)</f>
        <v>0.90850599752846017</v>
      </c>
      <c r="K436" s="47"/>
      <c r="L436" s="169">
        <v>1</v>
      </c>
      <c r="M436" s="175" t="s">
        <v>242</v>
      </c>
      <c r="N436" s="169">
        <v>1391.3910978952122</v>
      </c>
      <c r="O436" s="143">
        <f t="shared" si="19"/>
        <v>1391.3910978952122</v>
      </c>
      <c r="P436" s="144">
        <f t="shared" si="20"/>
        <v>1264.087157345509</v>
      </c>
    </row>
    <row r="437" spans="3:16" x14ac:dyDescent="0.2">
      <c r="C437" s="145"/>
      <c r="D437" s="164" t="s">
        <v>523</v>
      </c>
      <c r="E437" s="137">
        <v>42886</v>
      </c>
      <c r="F437" s="172" t="str">
        <f t="shared" si="21"/>
        <v>2016-17</v>
      </c>
      <c r="H437" s="173" t="s">
        <v>190</v>
      </c>
      <c r="I437" s="174">
        <v>25184.239534746859</v>
      </c>
      <c r="J437" s="168">
        <f>IF(E437&lt;DATE(2016,1,1),IF(OR(M437="metres",M437="pipe"),INDEX('Scheme cost allocation'!$D$21:$D$42,MATCH(IF(MONTH(E437)&lt;7,YEAR(E437),YEAR(E437)+1),'Scheme cost allocation'!$C$21:$C$42,0))*'Scheme cost allocation'!$J$21,'Scheme cost allocation'!$J$21),'Scheme cost allocation'!$J$21)</f>
        <v>0.90850599752846017</v>
      </c>
      <c r="K437" s="47"/>
      <c r="L437" s="169">
        <v>1</v>
      </c>
      <c r="M437" s="175" t="s">
        <v>242</v>
      </c>
      <c r="N437" s="169">
        <v>1391.3910978952122</v>
      </c>
      <c r="O437" s="143">
        <f t="shared" si="19"/>
        <v>1391.3910978952122</v>
      </c>
      <c r="P437" s="144">
        <f t="shared" si="20"/>
        <v>1264.087157345509</v>
      </c>
    </row>
    <row r="438" spans="3:16" x14ac:dyDescent="0.2">
      <c r="C438" s="145"/>
      <c r="D438" s="164" t="s">
        <v>524</v>
      </c>
      <c r="E438" s="137">
        <v>42886</v>
      </c>
      <c r="F438" s="172" t="str">
        <f t="shared" si="21"/>
        <v>2016-17</v>
      </c>
      <c r="H438" s="173" t="s">
        <v>190</v>
      </c>
      <c r="I438" s="174">
        <v>25184.239534746859</v>
      </c>
      <c r="J438" s="168">
        <f>IF(E438&lt;DATE(2016,1,1),IF(OR(M438="metres",M438="pipe"),INDEX('Scheme cost allocation'!$D$21:$D$42,MATCH(IF(MONTH(E438)&lt;7,YEAR(E438),YEAR(E438)+1),'Scheme cost allocation'!$C$21:$C$42,0))*'Scheme cost allocation'!$J$21,'Scheme cost allocation'!$J$21),'Scheme cost allocation'!$J$21)</f>
        <v>0.90850599752846017</v>
      </c>
      <c r="K438" s="47"/>
      <c r="L438" s="169">
        <v>1</v>
      </c>
      <c r="M438" s="175" t="s">
        <v>242</v>
      </c>
      <c r="N438" s="169">
        <v>42605.501076666667</v>
      </c>
      <c r="O438" s="143">
        <f t="shared" si="19"/>
        <v>42605.501076666667</v>
      </c>
      <c r="P438" s="144">
        <f t="shared" si="20"/>
        <v>38707.353255856935</v>
      </c>
    </row>
    <row r="439" spans="3:16" x14ac:dyDescent="0.2">
      <c r="C439" s="145"/>
      <c r="D439" s="164" t="s">
        <v>525</v>
      </c>
      <c r="E439" s="137">
        <v>42886</v>
      </c>
      <c r="F439" s="172" t="str">
        <f t="shared" si="21"/>
        <v>2016-17</v>
      </c>
      <c r="H439" s="173" t="s">
        <v>190</v>
      </c>
      <c r="I439" s="174">
        <v>25184.239534746859</v>
      </c>
      <c r="J439" s="168">
        <f>IF(E439&lt;DATE(2016,1,1),IF(OR(M439="metres",M439="pipe"),INDEX('Scheme cost allocation'!$D$21:$D$42,MATCH(IF(MONTH(E439)&lt;7,YEAR(E439),YEAR(E439)+1),'Scheme cost allocation'!$C$21:$C$42,0))*'Scheme cost allocation'!$J$21,'Scheme cost allocation'!$J$21),'Scheme cost allocation'!$J$21)</f>
        <v>0.90850599752846017</v>
      </c>
      <c r="K439" s="47"/>
      <c r="L439" s="169">
        <v>1</v>
      </c>
      <c r="M439" s="175" t="s">
        <v>242</v>
      </c>
      <c r="N439" s="169">
        <v>1413149.8437376781</v>
      </c>
      <c r="O439" s="143">
        <f t="shared" si="19"/>
        <v>1413149.8437376781</v>
      </c>
      <c r="P439" s="144">
        <f t="shared" si="20"/>
        <v>1283855.108442087</v>
      </c>
    </row>
    <row r="440" spans="3:16" x14ac:dyDescent="0.2">
      <c r="C440" s="145"/>
      <c r="D440" s="164" t="s">
        <v>526</v>
      </c>
      <c r="E440" s="137">
        <v>42886</v>
      </c>
      <c r="F440" s="172" t="str">
        <f t="shared" si="21"/>
        <v>2016-17</v>
      </c>
      <c r="H440" s="173" t="s">
        <v>190</v>
      </c>
      <c r="I440" s="174">
        <v>25184.239534746859</v>
      </c>
      <c r="J440" s="168">
        <f>IF(E440&lt;DATE(2016,1,1),IF(OR(M440="metres",M440="pipe"),INDEX('Scheme cost allocation'!$D$21:$D$42,MATCH(IF(MONTH(E440)&lt;7,YEAR(E440),YEAR(E440)+1),'Scheme cost allocation'!$C$21:$C$42,0))*'Scheme cost allocation'!$J$21,'Scheme cost allocation'!$J$21),'Scheme cost allocation'!$J$21)</f>
        <v>0.90850599752846017</v>
      </c>
      <c r="K440" s="47"/>
      <c r="L440" s="169">
        <v>1</v>
      </c>
      <c r="M440" s="175" t="s">
        <v>242</v>
      </c>
      <c r="N440" s="169">
        <v>2613022.2936300091</v>
      </c>
      <c r="O440" s="143">
        <f t="shared" si="19"/>
        <v>2613022.2936300091</v>
      </c>
      <c r="P440" s="144">
        <f t="shared" si="20"/>
        <v>2373946.4254384362</v>
      </c>
    </row>
    <row r="441" spans="3:16" x14ac:dyDescent="0.2">
      <c r="C441" s="145"/>
      <c r="D441" s="164" t="s">
        <v>527</v>
      </c>
      <c r="E441" s="137">
        <v>42886</v>
      </c>
      <c r="F441" s="172" t="str">
        <f t="shared" si="21"/>
        <v>2016-17</v>
      </c>
      <c r="H441" s="173" t="s">
        <v>190</v>
      </c>
      <c r="I441" s="174">
        <v>25184.239534746859</v>
      </c>
      <c r="J441" s="168">
        <f>IF(E441&lt;DATE(2016,1,1),IF(OR(M441="metres",M441="pipe"),INDEX('Scheme cost allocation'!$D$21:$D$42,MATCH(IF(MONTH(E441)&lt;7,YEAR(E441),YEAR(E441)+1),'Scheme cost allocation'!$C$21:$C$42,0))*'Scheme cost allocation'!$J$21,'Scheme cost allocation'!$J$21),'Scheme cost allocation'!$J$21)</f>
        <v>0.90850599752846017</v>
      </c>
      <c r="K441" s="47"/>
      <c r="L441" s="169">
        <v>1</v>
      </c>
      <c r="M441" s="175" t="s">
        <v>242</v>
      </c>
      <c r="N441" s="169">
        <v>8353091.7759263506</v>
      </c>
      <c r="O441" s="143">
        <f t="shared" si="19"/>
        <v>8353091.7759263506</v>
      </c>
      <c r="P441" s="144">
        <f t="shared" si="20"/>
        <v>7588833.976334746</v>
      </c>
    </row>
    <row r="442" spans="3:16" x14ac:dyDescent="0.2">
      <c r="C442" s="145"/>
      <c r="D442" s="164" t="s">
        <v>528</v>
      </c>
      <c r="E442" s="137">
        <v>42907</v>
      </c>
      <c r="F442" s="172" t="str">
        <f t="shared" si="21"/>
        <v>2016-17</v>
      </c>
      <c r="H442" s="173" t="s">
        <v>190</v>
      </c>
      <c r="I442" s="174">
        <v>25184.239534746859</v>
      </c>
      <c r="J442" s="168">
        <f>IF(E442&lt;DATE(2016,1,1),IF(OR(M442="metres",M442="pipe"),INDEX('Scheme cost allocation'!$D$21:$D$42,MATCH(IF(MONTH(E442)&lt;7,YEAR(E442),YEAR(E442)+1),'Scheme cost allocation'!$C$21:$C$42,0))*'Scheme cost allocation'!$J$21,'Scheme cost allocation'!$J$21),'Scheme cost allocation'!$J$21)</f>
        <v>0.90850599752846017</v>
      </c>
      <c r="K442" s="47"/>
      <c r="L442" s="169">
        <v>1</v>
      </c>
      <c r="M442" s="175" t="s">
        <v>242</v>
      </c>
      <c r="N442" s="169">
        <v>128101.33780489609</v>
      </c>
      <c r="O442" s="143">
        <f t="shared" si="19"/>
        <v>128101.33780489609</v>
      </c>
      <c r="P442" s="144">
        <f t="shared" si="20"/>
        <v>116380.83368716737</v>
      </c>
    </row>
    <row r="443" spans="3:16" x14ac:dyDescent="0.2">
      <c r="C443" s="145"/>
      <c r="D443" s="164" t="s">
        <v>529</v>
      </c>
      <c r="E443" s="137">
        <v>43073</v>
      </c>
      <c r="F443" s="172" t="str">
        <f t="shared" si="21"/>
        <v>2017-18</v>
      </c>
      <c r="H443" s="173" t="s">
        <v>190</v>
      </c>
      <c r="I443" s="174">
        <v>25184.239534746859</v>
      </c>
      <c r="J443" s="168">
        <f>IF(E443&lt;DATE(2016,1,1),IF(OR(M443="metres",M443="pipe"),INDEX('Scheme cost allocation'!$D$21:$D$42,MATCH(IF(MONTH(E443)&lt;7,YEAR(E443),YEAR(E443)+1),'Scheme cost allocation'!$C$21:$C$42,0))*'Scheme cost allocation'!$J$21,'Scheme cost allocation'!$J$21),'Scheme cost allocation'!$J$21)</f>
        <v>0.90850599752846017</v>
      </c>
      <c r="K443" s="47"/>
      <c r="L443" s="169">
        <v>1</v>
      </c>
      <c r="M443" s="175" t="s">
        <v>242</v>
      </c>
      <c r="N443" s="169">
        <v>2213.701891828724</v>
      </c>
      <c r="O443" s="143">
        <f t="shared" si="19"/>
        <v>2213.701891828724</v>
      </c>
      <c r="P443" s="144">
        <f t="shared" si="20"/>
        <v>2011.1614454664943</v>
      </c>
    </row>
    <row r="444" spans="3:16" x14ac:dyDescent="0.2">
      <c r="C444" s="145"/>
      <c r="D444" s="164" t="s">
        <v>530</v>
      </c>
      <c r="E444" s="137">
        <v>43111</v>
      </c>
      <c r="F444" s="172" t="str">
        <f t="shared" si="21"/>
        <v>2017-18</v>
      </c>
      <c r="H444" s="173" t="s">
        <v>190</v>
      </c>
      <c r="I444" s="174">
        <v>25184.239534746859</v>
      </c>
      <c r="J444" s="168">
        <f>IF(E444&lt;DATE(2016,1,1),IF(OR(M444="metres",M444="pipe"),INDEX('Scheme cost allocation'!$D$21:$D$42,MATCH(IF(MONTH(E444)&lt;7,YEAR(E444),YEAR(E444)+1),'Scheme cost allocation'!$C$21:$C$42,0))*'Scheme cost allocation'!$J$21,'Scheme cost allocation'!$J$21),'Scheme cost allocation'!$J$21)</f>
        <v>0.90850599752846017</v>
      </c>
      <c r="K444" s="47"/>
      <c r="L444" s="169">
        <v>1</v>
      </c>
      <c r="M444" s="175" t="s">
        <v>242</v>
      </c>
      <c r="N444" s="169">
        <v>2203.8719544760211</v>
      </c>
      <c r="O444" s="143">
        <f t="shared" si="19"/>
        <v>2203.8719544760211</v>
      </c>
      <c r="P444" s="144">
        <f t="shared" si="20"/>
        <v>2002.2308884262347</v>
      </c>
    </row>
    <row r="445" spans="3:16" x14ac:dyDescent="0.2">
      <c r="C445" s="145"/>
      <c r="D445" s="164" t="s">
        <v>531</v>
      </c>
      <c r="E445" s="137">
        <v>43116</v>
      </c>
      <c r="F445" s="172" t="str">
        <f t="shared" si="21"/>
        <v>2017-18</v>
      </c>
      <c r="H445" s="173" t="s">
        <v>190</v>
      </c>
      <c r="I445" s="174">
        <v>25184.239534746859</v>
      </c>
      <c r="J445" s="168">
        <f>IF(E445&lt;DATE(2016,1,1),IF(OR(M445="metres",M445="pipe"),INDEX('Scheme cost allocation'!$D$21:$D$42,MATCH(IF(MONTH(E445)&lt;7,YEAR(E445),YEAR(E445)+1),'Scheme cost allocation'!$C$21:$C$42,0))*'Scheme cost allocation'!$J$21,'Scheme cost allocation'!$J$21),'Scheme cost allocation'!$J$21)</f>
        <v>0.90850599752846017</v>
      </c>
      <c r="K445" s="47"/>
      <c r="L445" s="169">
        <v>1</v>
      </c>
      <c r="M445" s="175" t="s">
        <v>242</v>
      </c>
      <c r="N445" s="169">
        <v>2203.8719544760211</v>
      </c>
      <c r="O445" s="143">
        <f t="shared" si="19"/>
        <v>2203.8719544760211</v>
      </c>
      <c r="P445" s="144">
        <f t="shared" si="20"/>
        <v>2002.2308884262347</v>
      </c>
    </row>
    <row r="446" spans="3:16" x14ac:dyDescent="0.2">
      <c r="C446" s="145"/>
      <c r="D446" s="164" t="s">
        <v>532</v>
      </c>
      <c r="E446" s="137">
        <v>43125</v>
      </c>
      <c r="F446" s="172" t="str">
        <f t="shared" si="21"/>
        <v>2017-18</v>
      </c>
      <c r="H446" s="173" t="s">
        <v>190</v>
      </c>
      <c r="I446" s="174">
        <v>25184.239534746859</v>
      </c>
      <c r="J446" s="168">
        <f>IF(E446&lt;DATE(2016,1,1),IF(OR(M446="metres",M446="pipe"),INDEX('Scheme cost allocation'!$D$21:$D$42,MATCH(IF(MONTH(E446)&lt;7,YEAR(E446),YEAR(E446)+1),'Scheme cost allocation'!$C$21:$C$42,0))*'Scheme cost allocation'!$J$21,'Scheme cost allocation'!$J$21),'Scheme cost allocation'!$J$21)</f>
        <v>0.90850599752846017</v>
      </c>
      <c r="K446" s="47"/>
      <c r="L446" s="169">
        <v>1</v>
      </c>
      <c r="M446" s="175" t="s">
        <v>242</v>
      </c>
      <c r="N446" s="169">
        <v>642466.46940428053</v>
      </c>
      <c r="O446" s="143">
        <f t="shared" si="19"/>
        <v>642466.46940428053</v>
      </c>
      <c r="P446" s="144">
        <f t="shared" si="20"/>
        <v>583684.64066472382</v>
      </c>
    </row>
    <row r="447" spans="3:16" x14ac:dyDescent="0.2">
      <c r="C447" s="145"/>
      <c r="D447" s="164" t="s">
        <v>533</v>
      </c>
      <c r="E447" s="137">
        <v>43125</v>
      </c>
      <c r="F447" s="172" t="str">
        <f t="shared" si="21"/>
        <v>2017-18</v>
      </c>
      <c r="H447" s="173" t="s">
        <v>190</v>
      </c>
      <c r="I447" s="174">
        <v>25184.239534746859</v>
      </c>
      <c r="J447" s="168">
        <f>IF(E447&lt;DATE(2016,1,1),IF(OR(M447="metres",M447="pipe"),INDEX('Scheme cost allocation'!$D$21:$D$42,MATCH(IF(MONTH(E447)&lt;7,YEAR(E447),YEAR(E447)+1),'Scheme cost allocation'!$C$21:$C$42,0))*'Scheme cost allocation'!$J$21,'Scheme cost allocation'!$J$21),'Scheme cost allocation'!$J$21)</f>
        <v>0.90850599752846017</v>
      </c>
      <c r="K447" s="47"/>
      <c r="L447" s="169">
        <v>1</v>
      </c>
      <c r="M447" s="175" t="s">
        <v>242</v>
      </c>
      <c r="N447" s="169">
        <v>698866.55527461809</v>
      </c>
      <c r="O447" s="143">
        <f t="shared" si="19"/>
        <v>698866.55527461809</v>
      </c>
      <c r="P447" s="144">
        <f t="shared" si="20"/>
        <v>634924.45693904569</v>
      </c>
    </row>
    <row r="448" spans="3:16" x14ac:dyDescent="0.2">
      <c r="C448" s="145"/>
      <c r="D448" s="164" t="s">
        <v>534</v>
      </c>
      <c r="E448" s="137">
        <v>43175</v>
      </c>
      <c r="F448" s="172" t="str">
        <f t="shared" si="21"/>
        <v>2017-18</v>
      </c>
      <c r="H448" s="173" t="s">
        <v>190</v>
      </c>
      <c r="I448" s="174">
        <v>25184.239534746859</v>
      </c>
      <c r="J448" s="168">
        <f>IF(E448&lt;DATE(2016,1,1),IF(OR(M448="metres",M448="pipe"),INDEX('Scheme cost allocation'!$D$21:$D$42,MATCH(IF(MONTH(E448)&lt;7,YEAR(E448),YEAR(E448)+1),'Scheme cost allocation'!$C$21:$C$42,0))*'Scheme cost allocation'!$J$21,'Scheme cost allocation'!$J$21),'Scheme cost allocation'!$J$21)</f>
        <v>0.90850599752846017</v>
      </c>
      <c r="K448" s="47"/>
      <c r="L448" s="169">
        <v>1</v>
      </c>
      <c r="M448" s="175" t="s">
        <v>242</v>
      </c>
      <c r="N448" s="169">
        <v>253563.52422014208</v>
      </c>
      <c r="O448" s="143">
        <f t="shared" si="19"/>
        <v>253563.52422014208</v>
      </c>
      <c r="P448" s="144">
        <f t="shared" si="20"/>
        <v>230363.98250845206</v>
      </c>
    </row>
    <row r="449" spans="3:16" x14ac:dyDescent="0.2">
      <c r="C449" s="145"/>
      <c r="D449" s="164" t="s">
        <v>535</v>
      </c>
      <c r="E449" s="137">
        <v>43194</v>
      </c>
      <c r="F449" s="172" t="str">
        <f t="shared" si="21"/>
        <v>2017-18</v>
      </c>
      <c r="H449" s="173" t="s">
        <v>190</v>
      </c>
      <c r="I449" s="174">
        <v>25184.239534746859</v>
      </c>
      <c r="J449" s="168">
        <f>IF(E449&lt;DATE(2016,1,1),IF(OR(M449="metres",M449="pipe"),INDEX('Scheme cost allocation'!$D$21:$D$42,MATCH(IF(MONTH(E449)&lt;7,YEAR(E449),YEAR(E449)+1),'Scheme cost allocation'!$C$21:$C$42,0))*'Scheme cost allocation'!$J$21,'Scheme cost allocation'!$J$21),'Scheme cost allocation'!$J$21)</f>
        <v>0.90850599752846017</v>
      </c>
      <c r="K449" s="47"/>
      <c r="L449" s="169">
        <v>1</v>
      </c>
      <c r="M449" s="175" t="s">
        <v>242</v>
      </c>
      <c r="N449" s="169">
        <v>3613.4671846460174</v>
      </c>
      <c r="O449" s="143">
        <f t="shared" si="19"/>
        <v>3613.4671846460174</v>
      </c>
      <c r="P449" s="144">
        <f t="shared" si="20"/>
        <v>3282.8566091231864</v>
      </c>
    </row>
    <row r="450" spans="3:16" x14ac:dyDescent="0.2">
      <c r="C450" s="145"/>
      <c r="D450" s="164" t="s">
        <v>536</v>
      </c>
      <c r="E450" s="137">
        <v>43241</v>
      </c>
      <c r="F450" s="172" t="str">
        <f t="shared" si="21"/>
        <v>2017-18</v>
      </c>
      <c r="H450" s="173" t="s">
        <v>190</v>
      </c>
      <c r="I450" s="174">
        <v>25184.239534746859</v>
      </c>
      <c r="J450" s="168">
        <f>IF(E450&lt;DATE(2016,1,1),IF(OR(M450="metres",M450="pipe"),INDEX('Scheme cost allocation'!$D$21:$D$42,MATCH(IF(MONTH(E450)&lt;7,YEAR(E450),YEAR(E450)+1),'Scheme cost allocation'!$C$21:$C$42,0))*'Scheme cost allocation'!$J$21,'Scheme cost allocation'!$J$21),'Scheme cost allocation'!$J$21)</f>
        <v>0.90850599752846017</v>
      </c>
      <c r="K450" s="47"/>
      <c r="L450" s="169">
        <v>1</v>
      </c>
      <c r="M450" s="175" t="s">
        <v>242</v>
      </c>
      <c r="N450" s="169">
        <v>3613.4671846460174</v>
      </c>
      <c r="O450" s="143">
        <f t="shared" si="19"/>
        <v>3613.4671846460174</v>
      </c>
      <c r="P450" s="144">
        <f t="shared" si="20"/>
        <v>3282.8566091231864</v>
      </c>
    </row>
    <row r="451" spans="3:16" x14ac:dyDescent="0.2">
      <c r="C451" s="145"/>
      <c r="D451" s="164" t="s">
        <v>537</v>
      </c>
      <c r="E451" s="137">
        <v>43252</v>
      </c>
      <c r="F451" s="172" t="str">
        <f t="shared" si="21"/>
        <v>2017-18</v>
      </c>
      <c r="H451" s="173" t="s">
        <v>190</v>
      </c>
      <c r="I451" s="174">
        <v>25184.239534746859</v>
      </c>
      <c r="J451" s="168">
        <f>IF(E451&lt;DATE(2016,1,1),IF(OR(M451="metres",M451="pipe"),INDEX('Scheme cost allocation'!$D$21:$D$42,MATCH(IF(MONTH(E451)&lt;7,YEAR(E451),YEAR(E451)+1),'Scheme cost allocation'!$C$21:$C$42,0))*'Scheme cost allocation'!$J$21,'Scheme cost allocation'!$J$21),'Scheme cost allocation'!$J$21)</f>
        <v>0.90850599752846017</v>
      </c>
      <c r="K451" s="47"/>
      <c r="L451" s="169">
        <v>1</v>
      </c>
      <c r="M451" s="175" t="s">
        <v>242</v>
      </c>
      <c r="N451" s="169">
        <v>3613.4671846460174</v>
      </c>
      <c r="O451" s="143">
        <f t="shared" si="19"/>
        <v>3613.4671846460174</v>
      </c>
      <c r="P451" s="144">
        <f t="shared" si="20"/>
        <v>3282.8566091231864</v>
      </c>
    </row>
    <row r="452" spans="3:16" x14ac:dyDescent="0.2">
      <c r="C452" s="145"/>
      <c r="D452" s="164" t="s">
        <v>538</v>
      </c>
      <c r="E452" s="137">
        <v>43279</v>
      </c>
      <c r="F452" s="172" t="str">
        <f t="shared" si="21"/>
        <v>2017-18</v>
      </c>
      <c r="H452" s="173" t="s">
        <v>190</v>
      </c>
      <c r="I452" s="174">
        <v>25184.239534746859</v>
      </c>
      <c r="J452" s="168">
        <f>IF(E452&lt;DATE(2016,1,1),IF(OR(M452="metres",M452="pipe"),INDEX('Scheme cost allocation'!$D$21:$D$42,MATCH(IF(MONTH(E452)&lt;7,YEAR(E452),YEAR(E452)+1),'Scheme cost allocation'!$C$21:$C$42,0))*'Scheme cost allocation'!$J$21,'Scheme cost allocation'!$J$21),'Scheme cost allocation'!$J$21)</f>
        <v>0.90850599752846017</v>
      </c>
      <c r="K452" s="47"/>
      <c r="L452" s="169">
        <v>1</v>
      </c>
      <c r="M452" s="175" t="s">
        <v>242</v>
      </c>
      <c r="N452" s="169">
        <v>188526.16507123894</v>
      </c>
      <c r="O452" s="143">
        <f t="shared" si="19"/>
        <v>188526.16507123894</v>
      </c>
      <c r="P452" s="144">
        <f t="shared" si="20"/>
        <v>171277.15165826108</v>
      </c>
    </row>
    <row r="453" spans="3:16" x14ac:dyDescent="0.2">
      <c r="C453" s="145"/>
      <c r="D453" s="164" t="s">
        <v>539</v>
      </c>
      <c r="E453" s="137">
        <v>43286</v>
      </c>
      <c r="F453" s="172" t="str">
        <f t="shared" si="21"/>
        <v>2018-19</v>
      </c>
      <c r="H453" s="173" t="s">
        <v>190</v>
      </c>
      <c r="I453" s="174">
        <v>25184.239534746859</v>
      </c>
      <c r="J453" s="168">
        <f>IF(E453&lt;DATE(2016,1,1),IF(OR(M453="metres",M453="pipe"),INDEX('Scheme cost allocation'!$D$21:$D$42,MATCH(IF(MONTH(E453)&lt;7,YEAR(E453),YEAR(E453)+1),'Scheme cost allocation'!$C$21:$C$42,0))*'Scheme cost allocation'!$J$21,'Scheme cost allocation'!$J$21),'Scheme cost allocation'!$J$21)</f>
        <v>0.90850599752846017</v>
      </c>
      <c r="K453" s="47"/>
      <c r="L453" s="169">
        <v>1</v>
      </c>
      <c r="M453" s="175" t="s">
        <v>242</v>
      </c>
      <c r="N453" s="169">
        <v>3597.5488270044048</v>
      </c>
      <c r="O453" s="143">
        <f t="shared" si="19"/>
        <v>3597.5488270044048</v>
      </c>
      <c r="P453" s="144">
        <f t="shared" si="20"/>
        <v>3268.3946857349783</v>
      </c>
    </row>
    <row r="454" spans="3:16" x14ac:dyDescent="0.2">
      <c r="C454" s="145"/>
      <c r="D454" s="164" t="s">
        <v>540</v>
      </c>
      <c r="E454" s="137">
        <v>43286</v>
      </c>
      <c r="F454" s="172" t="str">
        <f t="shared" si="21"/>
        <v>2018-19</v>
      </c>
      <c r="H454" s="173" t="s">
        <v>190</v>
      </c>
      <c r="I454" s="174">
        <v>25184.239534746859</v>
      </c>
      <c r="J454" s="168">
        <f>IF(E454&lt;DATE(2016,1,1),IF(OR(M454="metres",M454="pipe"),INDEX('Scheme cost allocation'!$D$21:$D$42,MATCH(IF(MONTH(E454)&lt;7,YEAR(E454),YEAR(E454)+1),'Scheme cost allocation'!$C$21:$C$42,0))*'Scheme cost allocation'!$J$21,'Scheme cost allocation'!$J$21),'Scheme cost allocation'!$J$21)</f>
        <v>0.90850599752846017</v>
      </c>
      <c r="K454" s="47"/>
      <c r="L454" s="169">
        <v>1</v>
      </c>
      <c r="M454" s="175" t="s">
        <v>242</v>
      </c>
      <c r="N454" s="169">
        <v>3597.5488270044048</v>
      </c>
      <c r="O454" s="143">
        <f t="shared" si="19"/>
        <v>3597.5488270044048</v>
      </c>
      <c r="P454" s="144">
        <f t="shared" si="20"/>
        <v>3268.3946857349783</v>
      </c>
    </row>
    <row r="455" spans="3:16" x14ac:dyDescent="0.2">
      <c r="C455" s="145"/>
      <c r="D455" s="164" t="s">
        <v>541</v>
      </c>
      <c r="E455" s="137">
        <v>43286</v>
      </c>
      <c r="F455" s="172" t="str">
        <f t="shared" si="21"/>
        <v>2018-19</v>
      </c>
      <c r="H455" s="173" t="s">
        <v>190</v>
      </c>
      <c r="I455" s="174">
        <v>25184.239534746859</v>
      </c>
      <c r="J455" s="168">
        <f>IF(E455&lt;DATE(2016,1,1),IF(OR(M455="metres",M455="pipe"),INDEX('Scheme cost allocation'!$D$21:$D$42,MATCH(IF(MONTH(E455)&lt;7,YEAR(E455),YEAR(E455)+1),'Scheme cost allocation'!$C$21:$C$42,0))*'Scheme cost allocation'!$J$21,'Scheme cost allocation'!$J$21),'Scheme cost allocation'!$J$21)</f>
        <v>0.90850599752846017</v>
      </c>
      <c r="K455" s="47"/>
      <c r="L455" s="169">
        <v>1</v>
      </c>
      <c r="M455" s="175" t="s">
        <v>242</v>
      </c>
      <c r="N455" s="169">
        <v>3597.5488270044048</v>
      </c>
      <c r="O455" s="143">
        <f t="shared" si="19"/>
        <v>3597.5488270044048</v>
      </c>
      <c r="P455" s="144">
        <f t="shared" si="20"/>
        <v>3268.3946857349783</v>
      </c>
    </row>
    <row r="456" spans="3:16" x14ac:dyDescent="0.2">
      <c r="C456" s="145"/>
      <c r="D456" s="164" t="s">
        <v>542</v>
      </c>
      <c r="E456" s="137">
        <v>43307</v>
      </c>
      <c r="F456" s="172" t="str">
        <f t="shared" si="21"/>
        <v>2018-19</v>
      </c>
      <c r="H456" s="173" t="s">
        <v>190</v>
      </c>
      <c r="I456" s="174">
        <v>25184.239534746859</v>
      </c>
      <c r="J456" s="168">
        <f>IF(E456&lt;DATE(2016,1,1),IF(OR(M456="metres",M456="pipe"),INDEX('Scheme cost allocation'!$D$21:$D$42,MATCH(IF(MONTH(E456)&lt;7,YEAR(E456),YEAR(E456)+1),'Scheme cost allocation'!$C$21:$C$42,0))*'Scheme cost allocation'!$J$21,'Scheme cost allocation'!$J$21),'Scheme cost allocation'!$J$21)</f>
        <v>0.90850599752846017</v>
      </c>
      <c r="K456" s="47"/>
      <c r="L456" s="169">
        <v>1</v>
      </c>
      <c r="M456" s="175" t="s">
        <v>242</v>
      </c>
      <c r="N456" s="169">
        <v>3597.5488270044048</v>
      </c>
      <c r="O456" s="143">
        <f t="shared" si="19"/>
        <v>3597.5488270044048</v>
      </c>
      <c r="P456" s="144">
        <f t="shared" si="20"/>
        <v>3268.3946857349783</v>
      </c>
    </row>
    <row r="457" spans="3:16" x14ac:dyDescent="0.2">
      <c r="C457" s="145"/>
      <c r="D457" s="164" t="s">
        <v>543</v>
      </c>
      <c r="E457" s="137">
        <v>43318</v>
      </c>
      <c r="F457" s="172" t="str">
        <f t="shared" si="21"/>
        <v>2018-19</v>
      </c>
      <c r="H457" s="173" t="s">
        <v>190</v>
      </c>
      <c r="I457" s="174">
        <v>25184.239534746859</v>
      </c>
      <c r="J457" s="168">
        <f>IF(E457&lt;DATE(2016,1,1),IF(OR(M457="metres",M457="pipe"),INDEX('Scheme cost allocation'!$D$21:$D$42,MATCH(IF(MONTH(E457)&lt;7,YEAR(E457),YEAR(E457)+1),'Scheme cost allocation'!$C$21:$C$42,0))*'Scheme cost allocation'!$J$21,'Scheme cost allocation'!$J$21),'Scheme cost allocation'!$J$21)</f>
        <v>0.90850599752846017</v>
      </c>
      <c r="K457" s="47"/>
      <c r="L457" s="169">
        <v>1</v>
      </c>
      <c r="M457" s="175" t="s">
        <v>242</v>
      </c>
      <c r="N457" s="169">
        <v>3597.5488270044048</v>
      </c>
      <c r="O457" s="143">
        <f t="shared" si="19"/>
        <v>3597.5488270044048</v>
      </c>
      <c r="P457" s="144">
        <f t="shared" si="20"/>
        <v>3268.3946857349783</v>
      </c>
    </row>
    <row r="458" spans="3:16" x14ac:dyDescent="0.2">
      <c r="C458" s="145"/>
      <c r="D458" s="164" t="s">
        <v>544</v>
      </c>
      <c r="E458" s="137">
        <v>43319</v>
      </c>
      <c r="F458" s="172" t="str">
        <f t="shared" si="21"/>
        <v>2018-19</v>
      </c>
      <c r="H458" s="173" t="s">
        <v>190</v>
      </c>
      <c r="I458" s="174">
        <v>25184.239534746859</v>
      </c>
      <c r="J458" s="168">
        <f>IF(E458&lt;DATE(2016,1,1),IF(OR(M458="metres",M458="pipe"),INDEX('Scheme cost allocation'!$D$21:$D$42,MATCH(IF(MONTH(E458)&lt;7,YEAR(E458),YEAR(E458)+1),'Scheme cost allocation'!$C$21:$C$42,0))*'Scheme cost allocation'!$J$21,'Scheme cost allocation'!$J$21),'Scheme cost allocation'!$J$21)</f>
        <v>0.90850599752846017</v>
      </c>
      <c r="K458" s="47"/>
      <c r="L458" s="169">
        <v>1</v>
      </c>
      <c r="M458" s="175" t="s">
        <v>242</v>
      </c>
      <c r="N458" s="169">
        <v>839925.13521925977</v>
      </c>
      <c r="O458" s="143">
        <f t="shared" si="19"/>
        <v>839925.13521925977</v>
      </c>
      <c r="P458" s="144">
        <f t="shared" si="20"/>
        <v>763077.02282160043</v>
      </c>
    </row>
    <row r="459" spans="3:16" x14ac:dyDescent="0.2">
      <c r="C459" s="145"/>
      <c r="D459" s="164" t="s">
        <v>545</v>
      </c>
      <c r="E459" s="137">
        <v>43321</v>
      </c>
      <c r="F459" s="172" t="str">
        <f t="shared" si="21"/>
        <v>2018-19</v>
      </c>
      <c r="H459" s="173" t="s">
        <v>190</v>
      </c>
      <c r="I459" s="174">
        <v>25184.239534746859</v>
      </c>
      <c r="J459" s="168">
        <f>IF(E459&lt;DATE(2016,1,1),IF(OR(M459="metres",M459="pipe"),INDEX('Scheme cost allocation'!$D$21:$D$42,MATCH(IF(MONTH(E459)&lt;7,YEAR(E459),YEAR(E459)+1),'Scheme cost allocation'!$C$21:$C$42,0))*'Scheme cost allocation'!$J$21,'Scheme cost allocation'!$J$21),'Scheme cost allocation'!$J$21)</f>
        <v>0.90850599752846017</v>
      </c>
      <c r="K459" s="47"/>
      <c r="L459" s="169">
        <v>1</v>
      </c>
      <c r="M459" s="175" t="s">
        <v>242</v>
      </c>
      <c r="N459" s="169">
        <v>3597.5488270044048</v>
      </c>
      <c r="O459" s="143">
        <f t="shared" si="19"/>
        <v>3597.5488270044048</v>
      </c>
      <c r="P459" s="144">
        <f t="shared" si="20"/>
        <v>3268.3946857349783</v>
      </c>
    </row>
    <row r="460" spans="3:16" x14ac:dyDescent="0.2">
      <c r="C460" s="145"/>
      <c r="D460" s="164" t="s">
        <v>546</v>
      </c>
      <c r="E460" s="137">
        <v>43336</v>
      </c>
      <c r="F460" s="172" t="str">
        <f t="shared" si="21"/>
        <v>2018-19</v>
      </c>
      <c r="H460" s="173" t="s">
        <v>190</v>
      </c>
      <c r="I460" s="174">
        <v>25184.239534746859</v>
      </c>
      <c r="J460" s="168">
        <f>IF(E460&lt;DATE(2016,1,1),IF(OR(M460="metres",M460="pipe"),INDEX('Scheme cost allocation'!$D$21:$D$42,MATCH(IF(MONTH(E460)&lt;7,YEAR(E460),YEAR(E460)+1),'Scheme cost allocation'!$C$21:$C$42,0))*'Scheme cost allocation'!$J$21,'Scheme cost allocation'!$J$21),'Scheme cost allocation'!$J$21)</f>
        <v>0.90850599752846017</v>
      </c>
      <c r="K460" s="47"/>
      <c r="L460" s="169">
        <v>1</v>
      </c>
      <c r="M460" s="175" t="s">
        <v>242</v>
      </c>
      <c r="N460" s="169">
        <v>3597.5488270044048</v>
      </c>
      <c r="O460" s="143">
        <f t="shared" si="19"/>
        <v>3597.5488270044048</v>
      </c>
      <c r="P460" s="144">
        <f t="shared" si="20"/>
        <v>3268.3946857349783</v>
      </c>
    </row>
    <row r="461" spans="3:16" x14ac:dyDescent="0.2">
      <c r="C461" s="145"/>
      <c r="D461" s="164" t="s">
        <v>547</v>
      </c>
      <c r="E461" s="137">
        <v>43341</v>
      </c>
      <c r="F461" s="172" t="str">
        <f t="shared" si="21"/>
        <v>2018-19</v>
      </c>
      <c r="H461" s="173" t="s">
        <v>190</v>
      </c>
      <c r="I461" s="174">
        <v>25184.239534746859</v>
      </c>
      <c r="J461" s="168">
        <f>IF(E461&lt;DATE(2016,1,1),IF(OR(M461="metres",M461="pipe"),INDEX('Scheme cost allocation'!$D$21:$D$42,MATCH(IF(MONTH(E461)&lt;7,YEAR(E461),YEAR(E461)+1),'Scheme cost allocation'!$C$21:$C$42,0))*'Scheme cost allocation'!$J$21,'Scheme cost allocation'!$J$21),'Scheme cost allocation'!$J$21)</f>
        <v>0.90850599752846017</v>
      </c>
      <c r="K461" s="47"/>
      <c r="L461" s="169">
        <v>1</v>
      </c>
      <c r="M461" s="175" t="s">
        <v>242</v>
      </c>
      <c r="N461" s="169">
        <v>3597.5488270044048</v>
      </c>
      <c r="O461" s="143">
        <f t="shared" si="19"/>
        <v>3597.5488270044048</v>
      </c>
      <c r="P461" s="144">
        <f t="shared" si="20"/>
        <v>3268.3946857349783</v>
      </c>
    </row>
    <row r="462" spans="3:16" x14ac:dyDescent="0.2">
      <c r="C462" s="145"/>
      <c r="D462" s="164" t="s">
        <v>548</v>
      </c>
      <c r="E462" s="137">
        <v>43350</v>
      </c>
      <c r="F462" s="172" t="str">
        <f t="shared" si="21"/>
        <v>2018-19</v>
      </c>
      <c r="H462" s="173" t="s">
        <v>190</v>
      </c>
      <c r="I462" s="174">
        <v>25184.239534746859</v>
      </c>
      <c r="J462" s="168">
        <f>IF(E462&lt;DATE(2016,1,1),IF(OR(M462="metres",M462="pipe"),INDEX('Scheme cost allocation'!$D$21:$D$42,MATCH(IF(MONTH(E462)&lt;7,YEAR(E462),YEAR(E462)+1),'Scheme cost allocation'!$C$21:$C$42,0))*'Scheme cost allocation'!$J$21,'Scheme cost allocation'!$J$21),'Scheme cost allocation'!$J$21)</f>
        <v>0.90850599752846017</v>
      </c>
      <c r="K462" s="47"/>
      <c r="L462" s="169">
        <v>1</v>
      </c>
      <c r="M462" s="175" t="s">
        <v>242</v>
      </c>
      <c r="N462" s="169">
        <v>839925.13521925977</v>
      </c>
      <c r="O462" s="143">
        <f t="shared" si="19"/>
        <v>839925.13521925977</v>
      </c>
      <c r="P462" s="144">
        <f t="shared" si="20"/>
        <v>763077.02282160043</v>
      </c>
    </row>
    <row r="463" spans="3:16" x14ac:dyDescent="0.2">
      <c r="C463" s="145"/>
      <c r="D463" s="164" t="s">
        <v>549</v>
      </c>
      <c r="E463" s="137">
        <v>43350</v>
      </c>
      <c r="F463" s="172" t="str">
        <f t="shared" si="21"/>
        <v>2018-19</v>
      </c>
      <c r="H463" s="173" t="s">
        <v>190</v>
      </c>
      <c r="I463" s="174">
        <v>25184.239534746859</v>
      </c>
      <c r="J463" s="168">
        <f>IF(E463&lt;DATE(2016,1,1),IF(OR(M463="metres",M463="pipe"),INDEX('Scheme cost allocation'!$D$21:$D$42,MATCH(IF(MONTH(E463)&lt;7,YEAR(E463),YEAR(E463)+1),'Scheme cost allocation'!$C$21:$C$42,0))*'Scheme cost allocation'!$J$21,'Scheme cost allocation'!$J$21),'Scheme cost allocation'!$J$21)</f>
        <v>0.90850599752846017</v>
      </c>
      <c r="K463" s="47"/>
      <c r="L463" s="169">
        <v>1</v>
      </c>
      <c r="M463" s="175" t="s">
        <v>242</v>
      </c>
      <c r="N463" s="169">
        <v>839925.13521925977</v>
      </c>
      <c r="O463" s="143">
        <f t="shared" si="19"/>
        <v>839925.13521925977</v>
      </c>
      <c r="P463" s="144">
        <f t="shared" si="20"/>
        <v>763077.02282160043</v>
      </c>
    </row>
    <row r="464" spans="3:16" x14ac:dyDescent="0.2">
      <c r="C464" s="145"/>
      <c r="D464" s="164" t="s">
        <v>550</v>
      </c>
      <c r="E464" s="137">
        <v>43350</v>
      </c>
      <c r="F464" s="172" t="str">
        <f t="shared" si="21"/>
        <v>2018-19</v>
      </c>
      <c r="H464" s="173" t="s">
        <v>190</v>
      </c>
      <c r="I464" s="174">
        <v>25184.239534746859</v>
      </c>
      <c r="J464" s="168">
        <f>IF(E464&lt;DATE(2016,1,1),IF(OR(M464="metres",M464="pipe"),INDEX('Scheme cost allocation'!$D$21:$D$42,MATCH(IF(MONTH(E464)&lt;7,YEAR(E464),YEAR(E464)+1),'Scheme cost allocation'!$C$21:$C$42,0))*'Scheme cost allocation'!$J$21,'Scheme cost allocation'!$J$21),'Scheme cost allocation'!$J$21)</f>
        <v>0.90850599752846017</v>
      </c>
      <c r="K464" s="47"/>
      <c r="L464" s="169">
        <v>1</v>
      </c>
      <c r="M464" s="175" t="s">
        <v>242</v>
      </c>
      <c r="N464" s="169">
        <v>839925.13521925977</v>
      </c>
      <c r="O464" s="143">
        <f t="shared" si="19"/>
        <v>839925.13521925977</v>
      </c>
      <c r="P464" s="144">
        <f t="shared" si="20"/>
        <v>763077.02282160043</v>
      </c>
    </row>
    <row r="465" spans="3:16" x14ac:dyDescent="0.2">
      <c r="C465" s="145"/>
      <c r="D465" s="164" t="s">
        <v>551</v>
      </c>
      <c r="E465" s="137">
        <v>43350</v>
      </c>
      <c r="F465" s="172" t="str">
        <f t="shared" si="21"/>
        <v>2018-19</v>
      </c>
      <c r="H465" s="173" t="s">
        <v>190</v>
      </c>
      <c r="I465" s="174">
        <v>25184.239534746859</v>
      </c>
      <c r="J465" s="168">
        <f>IF(E465&lt;DATE(2016,1,1),IF(OR(M465="metres",M465="pipe"),INDEX('Scheme cost allocation'!$D$21:$D$42,MATCH(IF(MONTH(E465)&lt;7,YEAR(E465),YEAR(E465)+1),'Scheme cost allocation'!$C$21:$C$42,0))*'Scheme cost allocation'!$J$21,'Scheme cost allocation'!$J$21),'Scheme cost allocation'!$J$21)</f>
        <v>0.90850599752846017</v>
      </c>
      <c r="K465" s="47"/>
      <c r="L465" s="169">
        <v>1</v>
      </c>
      <c r="M465" s="175" t="s">
        <v>242</v>
      </c>
      <c r="N465" s="169">
        <v>839925.16096246673</v>
      </c>
      <c r="O465" s="143">
        <f t="shared" si="19"/>
        <v>839925.16096246673</v>
      </c>
      <c r="P465" s="144">
        <f t="shared" si="20"/>
        <v>763077.04620945826</v>
      </c>
    </row>
    <row r="466" spans="3:16" x14ac:dyDescent="0.2">
      <c r="C466" s="145"/>
      <c r="D466" s="164" t="s">
        <v>552</v>
      </c>
      <c r="E466" s="137">
        <v>43454</v>
      </c>
      <c r="F466" s="172" t="str">
        <f t="shared" ref="F466:F480" si="22">IF(E466="","-",IF(OR(E466&lt;$E$15,E466&gt;$E$16),"ERROR - date outside of range",IF(MONTH(E466)&gt;=7,YEAR(E466)&amp;"-"&amp;IF(YEAR(E466)=1999,"00",IF(AND(YEAR(E466)&gt;=2000,YEAR(E466)&lt;2009),"0","")&amp;RIGHT(YEAR(E466),2)+1),RIGHT(YEAR(E466),4)-1&amp;"-"&amp;RIGHT(YEAR(E466),2))))</f>
        <v>2018-19</v>
      </c>
      <c r="H466" s="173" t="s">
        <v>190</v>
      </c>
      <c r="I466" s="174">
        <v>25184.239534746859</v>
      </c>
      <c r="J466" s="168">
        <f>IF(E466&lt;DATE(2016,1,1),IF(OR(M466="metres",M466="pipe"),INDEX('Scheme cost allocation'!$D$21:$D$42,MATCH(IF(MONTH(E466)&lt;7,YEAR(E466),YEAR(E466)+1),'Scheme cost allocation'!$C$21:$C$42,0))*'Scheme cost allocation'!$J$21,'Scheme cost allocation'!$J$21),'Scheme cost allocation'!$J$21)</f>
        <v>0.90850599752846017</v>
      </c>
      <c r="K466" s="47"/>
      <c r="L466" s="169">
        <v>1</v>
      </c>
      <c r="M466" s="175" t="s">
        <v>242</v>
      </c>
      <c r="N466" s="169">
        <v>749626.86741770385</v>
      </c>
      <c r="O466" s="143">
        <f t="shared" si="19"/>
        <v>749626.86741770385</v>
      </c>
      <c r="P466" s="144">
        <f t="shared" si="20"/>
        <v>681040.50495745579</v>
      </c>
    </row>
    <row r="467" spans="3:16" x14ac:dyDescent="0.2">
      <c r="C467" s="145"/>
      <c r="D467" s="164" t="s">
        <v>553</v>
      </c>
      <c r="E467" s="137">
        <v>43488</v>
      </c>
      <c r="F467" s="172" t="str">
        <f t="shared" si="22"/>
        <v>2018-19</v>
      </c>
      <c r="H467" s="173" t="s">
        <v>190</v>
      </c>
      <c r="I467" s="174">
        <v>25184.239534746859</v>
      </c>
      <c r="J467" s="168">
        <f>IF(E467&lt;DATE(2016,1,1),IF(OR(M467="metres",M467="pipe"),INDEX('Scheme cost allocation'!$D$21:$D$42,MATCH(IF(MONTH(E467)&lt;7,YEAR(E467),YEAR(E467)+1),'Scheme cost allocation'!$C$21:$C$42,0))*'Scheme cost allocation'!$J$21,'Scheme cost allocation'!$J$21),'Scheme cost allocation'!$J$21)</f>
        <v>0.90850599752846017</v>
      </c>
      <c r="K467" s="47"/>
      <c r="L467" s="169">
        <v>1</v>
      </c>
      <c r="M467" s="175" t="s">
        <v>242</v>
      </c>
      <c r="N467" s="169">
        <v>5808.6636774846629</v>
      </c>
      <c r="O467" s="143">
        <f t="shared" si="19"/>
        <v>5808.6636774846629</v>
      </c>
      <c r="P467" s="144">
        <f t="shared" si="20"/>
        <v>5277.2057886205375</v>
      </c>
    </row>
    <row r="468" spans="3:16" x14ac:dyDescent="0.2">
      <c r="C468" s="145"/>
      <c r="D468" s="164" t="s">
        <v>554</v>
      </c>
      <c r="E468" s="137">
        <v>43525</v>
      </c>
      <c r="F468" s="172" t="str">
        <f t="shared" si="22"/>
        <v>2018-19</v>
      </c>
      <c r="H468" s="173" t="s">
        <v>190</v>
      </c>
      <c r="I468" s="174">
        <v>25184.239534746859</v>
      </c>
      <c r="J468" s="168">
        <f>IF(E468&lt;DATE(2016,1,1),IF(OR(M468="metres",M468="pipe"),INDEX('Scheme cost allocation'!$D$21:$D$42,MATCH(IF(MONTH(E468)&lt;7,YEAR(E468),YEAR(E468)+1),'Scheme cost allocation'!$C$21:$C$42,0))*'Scheme cost allocation'!$J$21,'Scheme cost allocation'!$J$21),'Scheme cost allocation'!$J$21)</f>
        <v>0.90850599752846017</v>
      </c>
      <c r="K468" s="47"/>
      <c r="L468" s="169">
        <v>1</v>
      </c>
      <c r="M468" s="175" t="s">
        <v>242</v>
      </c>
      <c r="N468" s="169">
        <v>3578.6309541191936</v>
      </c>
      <c r="O468" s="143">
        <f t="shared" si="19"/>
        <v>3578.6309541191936</v>
      </c>
      <c r="P468" s="144">
        <f t="shared" si="20"/>
        <v>3251.207684758283</v>
      </c>
    </row>
    <row r="469" spans="3:16" x14ac:dyDescent="0.2">
      <c r="C469" s="145"/>
      <c r="D469" s="164" t="s">
        <v>555</v>
      </c>
      <c r="E469" s="137">
        <v>43594</v>
      </c>
      <c r="F469" s="172" t="str">
        <f t="shared" si="22"/>
        <v>2018-19</v>
      </c>
      <c r="H469" s="173" t="s">
        <v>190</v>
      </c>
      <c r="I469" s="174">
        <v>25184.239534746859</v>
      </c>
      <c r="J469" s="168">
        <f>IF(E469&lt;DATE(2016,1,1),IF(OR(M469="metres",M469="pipe"),INDEX('Scheme cost allocation'!$D$21:$D$42,MATCH(IF(MONTH(E469)&lt;7,YEAR(E469),YEAR(E469)+1),'Scheme cost allocation'!$C$21:$C$42,0))*'Scheme cost allocation'!$J$21,'Scheme cost allocation'!$J$21),'Scheme cost allocation'!$J$21)</f>
        <v>0.90850599752846017</v>
      </c>
      <c r="K469" s="47"/>
      <c r="L469" s="169">
        <v>1</v>
      </c>
      <c r="M469" s="175" t="s">
        <v>242</v>
      </c>
      <c r="N469" s="169">
        <v>1341.698558684669</v>
      </c>
      <c r="O469" s="143">
        <f t="shared" si="19"/>
        <v>1341.698558684669</v>
      </c>
      <c r="P469" s="144">
        <f t="shared" si="20"/>
        <v>1218.9411874403124</v>
      </c>
    </row>
    <row r="470" spans="3:16" x14ac:dyDescent="0.2">
      <c r="C470" s="145"/>
      <c r="D470" s="164" t="s">
        <v>556</v>
      </c>
      <c r="E470" s="137">
        <v>43602</v>
      </c>
      <c r="F470" s="172" t="str">
        <f t="shared" si="22"/>
        <v>2018-19</v>
      </c>
      <c r="H470" s="173" t="s">
        <v>190</v>
      </c>
      <c r="I470" s="174">
        <v>25184.239534746859</v>
      </c>
      <c r="J470" s="168">
        <f>IF(E470&lt;DATE(2016,1,1),IF(OR(M470="metres",M470="pipe"),INDEX('Scheme cost allocation'!$D$21:$D$42,MATCH(IF(MONTH(E470)&lt;7,YEAR(E470),YEAR(E470)+1),'Scheme cost allocation'!$C$21:$C$42,0))*'Scheme cost allocation'!$J$21,'Scheme cost allocation'!$J$21),'Scheme cost allocation'!$J$21)</f>
        <v>0.90850599752846017</v>
      </c>
      <c r="K470" s="47"/>
      <c r="L470" s="169">
        <v>1</v>
      </c>
      <c r="M470" s="175" t="s">
        <v>242</v>
      </c>
      <c r="N470" s="169">
        <v>5773.2449965243904</v>
      </c>
      <c r="O470" s="143">
        <f t="shared" ref="O470:O533" si="23">IF(N470="","-",L470*N470)</f>
        <v>5773.2449965243904</v>
      </c>
      <c r="P470" s="144">
        <f t="shared" ref="P470:P533" si="24">IF(O470="-","-",IF(OR(E470&lt;$E$15,E470&gt;$E$16),0,O470*J470))</f>
        <v>5245.0277045435832</v>
      </c>
    </row>
    <row r="471" spans="3:16" x14ac:dyDescent="0.2">
      <c r="C471" s="145"/>
      <c r="D471" s="164" t="s">
        <v>557</v>
      </c>
      <c r="E471" s="137">
        <v>43646</v>
      </c>
      <c r="F471" s="172" t="str">
        <f t="shared" si="22"/>
        <v>2018-19</v>
      </c>
      <c r="H471" s="173" t="s">
        <v>190</v>
      </c>
      <c r="I471" s="174">
        <v>25184.239534746859</v>
      </c>
      <c r="J471" s="168">
        <f>IF(E471&lt;DATE(2016,1,1),IF(OR(M471="metres",M471="pipe"),INDEX('Scheme cost allocation'!$D$21:$D$42,MATCH(IF(MONTH(E471)&lt;7,YEAR(E471),YEAR(E471)+1),'Scheme cost allocation'!$C$21:$C$42,0))*'Scheme cost allocation'!$J$21,'Scheme cost allocation'!$J$21),'Scheme cost allocation'!$J$21)</f>
        <v>0.90850599752846017</v>
      </c>
      <c r="K471" s="47"/>
      <c r="L471" s="169">
        <v>1</v>
      </c>
      <c r="M471" s="175" t="s">
        <v>558</v>
      </c>
      <c r="N471" s="169">
        <v>200504.84975993034</v>
      </c>
      <c r="O471" s="143">
        <f t="shared" si="23"/>
        <v>200504.84975993034</v>
      </c>
      <c r="P471" s="144">
        <f t="shared" si="24"/>
        <v>182159.85854043954</v>
      </c>
    </row>
    <row r="472" spans="3:16" x14ac:dyDescent="0.2">
      <c r="C472" s="145"/>
      <c r="D472" s="164" t="s">
        <v>559</v>
      </c>
      <c r="E472" s="137">
        <v>43734</v>
      </c>
      <c r="F472" s="172" t="str">
        <f t="shared" si="22"/>
        <v>2019-20</v>
      </c>
      <c r="H472" s="173" t="s">
        <v>190</v>
      </c>
      <c r="I472" s="174">
        <v>25184.239534746859</v>
      </c>
      <c r="J472" s="168">
        <f>IF(E472&lt;DATE(2016,1,1),IF(OR(M472="metres",M472="pipe"),INDEX('Scheme cost allocation'!$D$21:$D$42,MATCH(IF(MONTH(E472)&lt;7,YEAR(E472),YEAR(E472)+1),'Scheme cost allocation'!$C$21:$C$42,0))*'Scheme cost allocation'!$J$21,'Scheme cost allocation'!$J$21),'Scheme cost allocation'!$J$21)</f>
        <v>0.90850599752846017</v>
      </c>
      <c r="K472" s="47"/>
      <c r="L472" s="169">
        <v>1</v>
      </c>
      <c r="M472" s="175" t="s">
        <v>242</v>
      </c>
      <c r="N472" s="169">
        <v>5743.2281247920273</v>
      </c>
      <c r="O472" s="143">
        <f t="shared" si="23"/>
        <v>5743.2281247920273</v>
      </c>
      <c r="P472" s="144">
        <f t="shared" si="24"/>
        <v>5217.7571965476882</v>
      </c>
    </row>
    <row r="473" spans="3:16" x14ac:dyDescent="0.2">
      <c r="C473" s="145"/>
      <c r="D473" s="164" t="s">
        <v>560</v>
      </c>
      <c r="E473" s="137">
        <v>43776</v>
      </c>
      <c r="F473" s="172" t="str">
        <f t="shared" si="22"/>
        <v>2019-20</v>
      </c>
      <c r="H473" s="173" t="s">
        <v>190</v>
      </c>
      <c r="I473" s="174">
        <v>25184.239534746859</v>
      </c>
      <c r="J473" s="168">
        <f>IF(E473&lt;DATE(2016,1,1),IF(OR(M473="metres",M473="pipe"),INDEX('Scheme cost allocation'!$D$21:$D$42,MATCH(IF(MONTH(E473)&lt;7,YEAR(E473),YEAR(E473)+1),'Scheme cost allocation'!$C$21:$C$42,0))*'Scheme cost allocation'!$J$21,'Scheme cost allocation'!$J$21),'Scheme cost allocation'!$J$21)</f>
        <v>0.90850599752846017</v>
      </c>
      <c r="K473" s="47"/>
      <c r="L473" s="169">
        <v>1</v>
      </c>
      <c r="M473" s="175" t="s">
        <v>242</v>
      </c>
      <c r="N473" s="169">
        <v>5703.6878278915656</v>
      </c>
      <c r="O473" s="143">
        <f t="shared" si="23"/>
        <v>5703.6878278915656</v>
      </c>
      <c r="P473" s="144">
        <f t="shared" si="24"/>
        <v>5181.8345996695634</v>
      </c>
    </row>
    <row r="474" spans="3:16" x14ac:dyDescent="0.2">
      <c r="C474" s="145"/>
      <c r="D474" s="164" t="s">
        <v>561</v>
      </c>
      <c r="E474" s="137">
        <v>43861</v>
      </c>
      <c r="F474" s="172" t="str">
        <f t="shared" si="22"/>
        <v>2019-20</v>
      </c>
      <c r="H474" s="173" t="s">
        <v>190</v>
      </c>
      <c r="I474" s="174">
        <v>25184.239534746859</v>
      </c>
      <c r="J474" s="168">
        <f>IF(E474&lt;DATE(2016,1,1),IF(OR(M474="metres",M474="pipe"),INDEX('Scheme cost allocation'!$D$21:$D$42,MATCH(IF(MONTH(E474)&lt;7,YEAR(E474),YEAR(E474)+1),'Scheme cost allocation'!$C$21:$C$42,0))*'Scheme cost allocation'!$J$21,'Scheme cost allocation'!$J$21),'Scheme cost allocation'!$J$21)</f>
        <v>0.90850599752846017</v>
      </c>
      <c r="K474" s="47"/>
      <c r="L474" s="169">
        <v>1</v>
      </c>
      <c r="M474" s="175" t="s">
        <v>242</v>
      </c>
      <c r="N474" s="169">
        <v>5684.1211458061744</v>
      </c>
      <c r="O474" s="143">
        <f t="shared" si="23"/>
        <v>5684.1211458061744</v>
      </c>
      <c r="P474" s="144">
        <f t="shared" si="24"/>
        <v>5164.0581516432521</v>
      </c>
    </row>
    <row r="475" spans="3:16" x14ac:dyDescent="0.2">
      <c r="C475" s="145"/>
      <c r="D475" s="164" t="s">
        <v>562</v>
      </c>
      <c r="E475" s="137">
        <v>43948</v>
      </c>
      <c r="F475" s="172" t="str">
        <f t="shared" si="22"/>
        <v>2019-20</v>
      </c>
      <c r="H475" s="173" t="s">
        <v>190</v>
      </c>
      <c r="I475" s="174">
        <v>25184.239534746859</v>
      </c>
      <c r="J475" s="168">
        <f>IF(E475&lt;DATE(2016,1,1),IF(OR(M475="metres",M475="pipe"),INDEX('Scheme cost allocation'!$D$21:$D$42,MATCH(IF(MONTH(E475)&lt;7,YEAR(E475),YEAR(E475)+1),'Scheme cost allocation'!$C$21:$C$42,0))*'Scheme cost allocation'!$J$21,'Scheme cost allocation'!$J$21),'Scheme cost allocation'!$J$21)</f>
        <v>0.90850599752846017</v>
      </c>
      <c r="K475" s="47"/>
      <c r="L475" s="169">
        <v>1</v>
      </c>
      <c r="M475" s="175" t="s">
        <v>242</v>
      </c>
      <c r="N475" s="169">
        <v>5793.4311678409085</v>
      </c>
      <c r="O475" s="143">
        <f t="shared" si="23"/>
        <v>5793.4311678409085</v>
      </c>
      <c r="P475" s="144">
        <f t="shared" si="24"/>
        <v>5263.3669622517764</v>
      </c>
    </row>
    <row r="476" spans="3:16" x14ac:dyDescent="0.2">
      <c r="C476" s="145"/>
      <c r="D476" s="164" t="s">
        <v>563</v>
      </c>
      <c r="E476" s="137">
        <v>43948</v>
      </c>
      <c r="F476" s="172" t="str">
        <f t="shared" si="22"/>
        <v>2019-20</v>
      </c>
      <c r="H476" s="173" t="s">
        <v>190</v>
      </c>
      <c r="I476" s="174">
        <v>25184.239534746859</v>
      </c>
      <c r="J476" s="168">
        <f>IF(E476&lt;DATE(2016,1,1),IF(OR(M476="metres",M476="pipe"),INDEX('Scheme cost allocation'!$D$21:$D$42,MATCH(IF(MONTH(E476)&lt;7,YEAR(E476),YEAR(E476)+1),'Scheme cost allocation'!$C$21:$C$42,0))*'Scheme cost allocation'!$J$21,'Scheme cost allocation'!$J$21),'Scheme cost allocation'!$J$21)</f>
        <v>0.90850599752846017</v>
      </c>
      <c r="K476" s="47"/>
      <c r="L476" s="169">
        <v>1</v>
      </c>
      <c r="M476" s="175" t="s">
        <v>242</v>
      </c>
      <c r="N476" s="169">
        <v>5793.4311678409085</v>
      </c>
      <c r="O476" s="143">
        <f t="shared" si="23"/>
        <v>5793.4311678409085</v>
      </c>
      <c r="P476" s="144">
        <f t="shared" si="24"/>
        <v>5263.3669622517764</v>
      </c>
    </row>
    <row r="477" spans="3:16" x14ac:dyDescent="0.2">
      <c r="C477" s="145"/>
      <c r="D477" s="164" t="s">
        <v>564</v>
      </c>
      <c r="E477" s="137">
        <v>43948</v>
      </c>
      <c r="F477" s="172" t="str">
        <f t="shared" si="22"/>
        <v>2019-20</v>
      </c>
      <c r="H477" s="173" t="s">
        <v>190</v>
      </c>
      <c r="I477" s="174">
        <v>25184.239534746859</v>
      </c>
      <c r="J477" s="168">
        <f>IF(E477&lt;DATE(2016,1,1),IF(OR(M477="metres",M477="pipe"),INDEX('Scheme cost allocation'!$D$21:$D$42,MATCH(IF(MONTH(E477)&lt;7,YEAR(E477),YEAR(E477)+1),'Scheme cost allocation'!$C$21:$C$42,0))*'Scheme cost allocation'!$J$21,'Scheme cost allocation'!$J$21),'Scheme cost allocation'!$J$21)</f>
        <v>0.90850599752846017</v>
      </c>
      <c r="K477" s="47"/>
      <c r="L477" s="169">
        <v>1</v>
      </c>
      <c r="M477" s="175" t="s">
        <v>242</v>
      </c>
      <c r="N477" s="169">
        <v>5793.4311678409085</v>
      </c>
      <c r="O477" s="143">
        <f t="shared" si="23"/>
        <v>5793.4311678409085</v>
      </c>
      <c r="P477" s="144">
        <f t="shared" si="24"/>
        <v>5263.3669622517764</v>
      </c>
    </row>
    <row r="478" spans="3:16" x14ac:dyDescent="0.2">
      <c r="C478" s="145"/>
      <c r="D478" s="164" t="s">
        <v>565</v>
      </c>
      <c r="E478" s="137">
        <v>44012</v>
      </c>
      <c r="F478" s="172" t="str">
        <f t="shared" si="22"/>
        <v>2019-20</v>
      </c>
      <c r="H478" s="173" t="s">
        <v>190</v>
      </c>
      <c r="I478" s="174">
        <v>25184.239534746859</v>
      </c>
      <c r="J478" s="168">
        <f>IF(E478&lt;DATE(2016,1,1),IF(OR(M478="metres",M478="pipe"),INDEX('Scheme cost allocation'!$D$21:$D$42,MATCH(IF(MONTH(E478)&lt;7,YEAR(E478),YEAR(E478)+1),'Scheme cost allocation'!$C$21:$C$42,0))*'Scheme cost allocation'!$J$21,'Scheme cost allocation'!$J$21),'Scheme cost allocation'!$J$21)</f>
        <v>0.90850599752846017</v>
      </c>
      <c r="K478" s="47"/>
      <c r="L478" s="169">
        <v>1</v>
      </c>
      <c r="M478" s="175" t="s">
        <v>558</v>
      </c>
      <c r="N478" s="169">
        <v>1172.4577692045455</v>
      </c>
      <c r="O478" s="143">
        <f t="shared" si="23"/>
        <v>1172.4577692045455</v>
      </c>
      <c r="P478" s="144">
        <f t="shared" si="24"/>
        <v>1065.1849151711688</v>
      </c>
    </row>
    <row r="479" spans="3:16" x14ac:dyDescent="0.2">
      <c r="C479" s="145"/>
      <c r="D479" s="164" t="s">
        <v>566</v>
      </c>
      <c r="E479" s="137">
        <v>44378</v>
      </c>
      <c r="F479" s="172" t="str">
        <f t="shared" si="22"/>
        <v>2021-22</v>
      </c>
      <c r="H479" s="173" t="s">
        <v>190</v>
      </c>
      <c r="I479" s="174">
        <v>25184.239534746859</v>
      </c>
      <c r="J479" s="168">
        <f>IF(E479&lt;DATE(2016,1,1),IF(OR(M479="metres",M479="pipe"),INDEX('Scheme cost allocation'!$D$21:$D$42,MATCH(IF(MONTH(E479)&lt;7,YEAR(E479),YEAR(E479)+1),'Scheme cost allocation'!$C$21:$C$42,0))*'Scheme cost allocation'!$J$21,'Scheme cost allocation'!$J$21),'Scheme cost allocation'!$J$21)</f>
        <v>0.90850599752846017</v>
      </c>
      <c r="K479" s="47"/>
      <c r="L479" s="169">
        <v>1</v>
      </c>
      <c r="M479" s="175" t="s">
        <v>558</v>
      </c>
      <c r="N479" s="169">
        <v>46893.852734987464</v>
      </c>
      <c r="O479" s="143">
        <f t="shared" si="23"/>
        <v>46893.852734987464</v>
      </c>
      <c r="P479" s="144">
        <f t="shared" si="24"/>
        <v>42603.346456952495</v>
      </c>
    </row>
    <row r="480" spans="3:16" x14ac:dyDescent="0.2">
      <c r="C480" s="145"/>
      <c r="D480" s="164" t="s">
        <v>567</v>
      </c>
      <c r="E480" s="137">
        <v>42486</v>
      </c>
      <c r="F480" s="172" t="str">
        <f t="shared" si="22"/>
        <v>2015-16</v>
      </c>
      <c r="H480" s="173" t="s">
        <v>190</v>
      </c>
      <c r="I480" s="174">
        <v>25184.239534746859</v>
      </c>
      <c r="J480" s="168">
        <f>IF(E480&lt;DATE(2016,1,1),IF(OR(M480="metres",M480="pipe"),INDEX('Scheme cost allocation'!$D$21:$D$42,MATCH(IF(MONTH(E480)&lt;7,YEAR(E480),YEAR(E480)+1),'Scheme cost allocation'!$C$21:$C$42,0))*'Scheme cost allocation'!$J$21,'Scheme cost allocation'!$J$21),'Scheme cost allocation'!$J$21)</f>
        <v>0.90850599752846017</v>
      </c>
      <c r="K480" s="47"/>
      <c r="L480" s="169">
        <v>1</v>
      </c>
      <c r="M480" s="175" t="s">
        <v>568</v>
      </c>
      <c r="N480" s="169">
        <v>328.45094377880179</v>
      </c>
      <c r="O480" s="143">
        <f t="shared" si="23"/>
        <v>328.45094377880179</v>
      </c>
      <c r="P480" s="144">
        <f t="shared" si="24"/>
        <v>298.39965231692452</v>
      </c>
    </row>
    <row r="481" spans="3:16" x14ac:dyDescent="0.2">
      <c r="C481" s="145"/>
      <c r="D481" s="164" t="s">
        <v>567</v>
      </c>
      <c r="E481" s="137">
        <v>42486</v>
      </c>
      <c r="F481" s="172" t="str">
        <f t="shared" ref="F481:F538" si="25">IF(E481="","-",IF(OR(E481&lt;$E$15,E481&gt;$E$16),"ERROR - date outside of range",IF(MONTH(E481)&gt;=7,YEAR(E481)&amp;"-"&amp;IF(YEAR(E481)=1999,"00",IF(AND(YEAR(E481)&gt;=2000,YEAR(E481)&lt;2009),"0","")&amp;RIGHT(YEAR(E481),2)+1),RIGHT(YEAR(E481),4)-1&amp;"-"&amp;RIGHT(YEAR(E481),2))))</f>
        <v>2015-16</v>
      </c>
      <c r="H481" s="173" t="s">
        <v>190</v>
      </c>
      <c r="I481" s="174">
        <v>25184.239534746859</v>
      </c>
      <c r="J481" s="168">
        <f>IF(E481&lt;DATE(2016,1,1),IF(OR(M481="metres",M481="pipe"),INDEX('Scheme cost allocation'!$D$21:$D$42,MATCH(IF(MONTH(E481)&lt;7,YEAR(E481),YEAR(E481)+1),'Scheme cost allocation'!$C$21:$C$42,0))*'Scheme cost allocation'!$J$21,'Scheme cost allocation'!$J$21),'Scheme cost allocation'!$J$21)</f>
        <v>0.90850599752846017</v>
      </c>
      <c r="K481" s="47"/>
      <c r="L481" s="169">
        <v>5</v>
      </c>
      <c r="M481" s="175" t="s">
        <v>191</v>
      </c>
      <c r="N481" s="169">
        <v>1479.5087557603683</v>
      </c>
      <c r="O481" s="143">
        <f t="shared" si="23"/>
        <v>7397.5437788018417</v>
      </c>
      <c r="P481" s="144">
        <f t="shared" si="24"/>
        <v>6720.7128900208218</v>
      </c>
    </row>
    <row r="482" spans="3:16" x14ac:dyDescent="0.2">
      <c r="C482" s="145"/>
      <c r="D482" s="164" t="s">
        <v>567</v>
      </c>
      <c r="E482" s="137">
        <v>42562</v>
      </c>
      <c r="F482" s="172" t="str">
        <f t="shared" si="25"/>
        <v>2016-17</v>
      </c>
      <c r="H482" s="173" t="s">
        <v>190</v>
      </c>
      <c r="I482" s="174">
        <v>25184.239534746859</v>
      </c>
      <c r="J482" s="168">
        <f>IF(E482&lt;DATE(2016,1,1),IF(OR(M482="metres",M482="pipe"),INDEX('Scheme cost allocation'!$D$21:$D$42,MATCH(IF(MONTH(E482)&lt;7,YEAR(E482),YEAR(E482)+1),'Scheme cost allocation'!$C$21:$C$42,0))*'Scheme cost allocation'!$J$21,'Scheme cost allocation'!$J$21),'Scheme cost allocation'!$J$21)</f>
        <v>0.90850599752846017</v>
      </c>
      <c r="K482" s="47"/>
      <c r="L482" s="169">
        <v>1</v>
      </c>
      <c r="M482" s="175" t="s">
        <v>568</v>
      </c>
      <c r="N482" s="169">
        <v>3265.0747520661148</v>
      </c>
      <c r="O482" s="143">
        <f t="shared" si="23"/>
        <v>3265.0747520661148</v>
      </c>
      <c r="P482" s="144">
        <f t="shared" si="24"/>
        <v>2966.3399946308155</v>
      </c>
    </row>
    <row r="483" spans="3:16" x14ac:dyDescent="0.2">
      <c r="C483" s="145"/>
      <c r="D483" s="164" t="s">
        <v>567</v>
      </c>
      <c r="E483" s="137">
        <v>42562</v>
      </c>
      <c r="F483" s="172" t="str">
        <f t="shared" si="25"/>
        <v>2016-17</v>
      </c>
      <c r="H483" s="173" t="s">
        <v>190</v>
      </c>
      <c r="I483" s="174">
        <v>25184.239534746859</v>
      </c>
      <c r="J483" s="168">
        <f>IF(E483&lt;DATE(2016,1,1),IF(OR(M483="metres",M483="pipe"),INDEX('Scheme cost allocation'!$D$21:$D$42,MATCH(IF(MONTH(E483)&lt;7,YEAR(E483),YEAR(E483)+1),'Scheme cost allocation'!$C$21:$C$42,0))*'Scheme cost allocation'!$J$21,'Scheme cost allocation'!$J$21),'Scheme cost allocation'!$J$21)</f>
        <v>0.90850599752846017</v>
      </c>
      <c r="K483" s="47"/>
      <c r="L483" s="169">
        <v>1</v>
      </c>
      <c r="M483" s="175" t="s">
        <v>568</v>
      </c>
      <c r="N483" s="169">
        <v>35377.785123966933</v>
      </c>
      <c r="O483" s="143">
        <f t="shared" si="23"/>
        <v>35377.785123966933</v>
      </c>
      <c r="P483" s="144">
        <f t="shared" si="24"/>
        <v>32140.929964397099</v>
      </c>
    </row>
    <row r="484" spans="3:16" x14ac:dyDescent="0.2">
      <c r="C484" s="145"/>
      <c r="D484" s="164" t="s">
        <v>567</v>
      </c>
      <c r="E484" s="137">
        <v>42754</v>
      </c>
      <c r="F484" s="172" t="str">
        <f t="shared" si="25"/>
        <v>2016-17</v>
      </c>
      <c r="H484" s="173" t="s">
        <v>190</v>
      </c>
      <c r="I484" s="174">
        <v>25184.239534746859</v>
      </c>
      <c r="J484" s="168">
        <f>IF(E484&lt;DATE(2016,1,1),IF(OR(M484="metres",M484="pipe"),INDEX('Scheme cost allocation'!$D$21:$D$42,MATCH(IF(MONTH(E484)&lt;7,YEAR(E484),YEAR(E484)+1),'Scheme cost allocation'!$C$21:$C$42,0))*'Scheme cost allocation'!$J$21,'Scheme cost allocation'!$J$21),'Scheme cost allocation'!$J$21)</f>
        <v>0.90850599752846017</v>
      </c>
      <c r="K484" s="47"/>
      <c r="L484" s="169">
        <v>1</v>
      </c>
      <c r="M484" s="175" t="s">
        <v>568</v>
      </c>
      <c r="N484" s="169">
        <v>3217.7976515837095</v>
      </c>
      <c r="O484" s="143">
        <f t="shared" si="23"/>
        <v>3217.7976515837095</v>
      </c>
      <c r="P484" s="144">
        <f t="shared" si="24"/>
        <v>2923.3884652967945</v>
      </c>
    </row>
    <row r="485" spans="3:16" x14ac:dyDescent="0.2">
      <c r="C485" s="145"/>
      <c r="D485" s="164" t="s">
        <v>567</v>
      </c>
      <c r="E485" s="137">
        <v>42754</v>
      </c>
      <c r="F485" s="172" t="str">
        <f t="shared" si="25"/>
        <v>2016-17</v>
      </c>
      <c r="H485" s="173" t="s">
        <v>190</v>
      </c>
      <c r="I485" s="174">
        <v>25184.239534746859</v>
      </c>
      <c r="J485" s="168">
        <f>IF(E485&lt;DATE(2016,1,1),IF(OR(M485="metres",M485="pipe"),INDEX('Scheme cost allocation'!$D$21:$D$42,MATCH(IF(MONTH(E485)&lt;7,YEAR(E485),YEAR(E485)+1),'Scheme cost allocation'!$C$21:$C$42,0))*'Scheme cost allocation'!$J$21,'Scheme cost allocation'!$J$21),'Scheme cost allocation'!$J$21)</f>
        <v>0.90850599752846017</v>
      </c>
      <c r="K485" s="47"/>
      <c r="L485" s="169">
        <v>19.55</v>
      </c>
      <c r="M485" s="175" t="s">
        <v>191</v>
      </c>
      <c r="N485" s="169">
        <v>1865.8853326544067</v>
      </c>
      <c r="O485" s="143">
        <f t="shared" si="23"/>
        <v>36478.058253393654</v>
      </c>
      <c r="P485" s="144">
        <f t="shared" si="24"/>
        <v>33140.534701400684</v>
      </c>
    </row>
    <row r="486" spans="3:16" x14ac:dyDescent="0.2">
      <c r="C486" s="145"/>
      <c r="D486" s="164" t="s">
        <v>569</v>
      </c>
      <c r="E486" s="137">
        <v>42710</v>
      </c>
      <c r="F486" s="172" t="str">
        <f t="shared" si="25"/>
        <v>2016-17</v>
      </c>
      <c r="H486" s="173" t="s">
        <v>190</v>
      </c>
      <c r="I486" s="174">
        <v>25184.239534746859</v>
      </c>
      <c r="J486" s="168">
        <f>IF(E486&lt;DATE(2016,1,1),IF(OR(M486="metres",M486="pipe"),INDEX('Scheme cost allocation'!$D$21:$D$42,MATCH(IF(MONTH(E486)&lt;7,YEAR(E486),YEAR(E486)+1),'Scheme cost allocation'!$C$21:$C$42,0))*'Scheme cost allocation'!$J$21,'Scheme cost allocation'!$J$21),'Scheme cost allocation'!$J$21)</f>
        <v>0.90850599752846017</v>
      </c>
      <c r="K486" s="47"/>
      <c r="L486" s="169">
        <v>1</v>
      </c>
      <c r="M486" s="175" t="s">
        <v>568</v>
      </c>
      <c r="N486" s="169">
        <v>3238.3118442622945</v>
      </c>
      <c r="O486" s="143">
        <f t="shared" si="23"/>
        <v>3238.3118442622945</v>
      </c>
      <c r="P486" s="144">
        <f t="shared" si="24"/>
        <v>2942.0257323797432</v>
      </c>
    </row>
    <row r="487" spans="3:16" x14ac:dyDescent="0.2">
      <c r="C487" s="145"/>
      <c r="D487" s="164" t="s">
        <v>569</v>
      </c>
      <c r="E487" s="137">
        <v>42710</v>
      </c>
      <c r="F487" s="172" t="str">
        <f t="shared" si="25"/>
        <v>2016-17</v>
      </c>
      <c r="H487" s="173" t="s">
        <v>190</v>
      </c>
      <c r="I487" s="174">
        <v>25184.239534746859</v>
      </c>
      <c r="J487" s="168">
        <f>IF(E487&lt;DATE(2016,1,1),IF(OR(M487="metres",M487="pipe"),INDEX('Scheme cost allocation'!$D$21:$D$42,MATCH(IF(MONTH(E487)&lt;7,YEAR(E487),YEAR(E487)+1),'Scheme cost allocation'!$C$21:$C$42,0))*'Scheme cost allocation'!$J$21,'Scheme cost allocation'!$J$21),'Scheme cost allocation'!$J$21)</f>
        <v>0.90850599752846017</v>
      </c>
      <c r="K487" s="47"/>
      <c r="L487" s="169">
        <v>1</v>
      </c>
      <c r="M487" s="175" t="s">
        <v>568</v>
      </c>
      <c r="N487" s="169">
        <v>57163.879508196711</v>
      </c>
      <c r="O487" s="143">
        <f t="shared" si="23"/>
        <v>57163.879508196711</v>
      </c>
      <c r="P487" s="144">
        <f t="shared" si="24"/>
        <v>51933.72737519096</v>
      </c>
    </row>
    <row r="488" spans="3:16" x14ac:dyDescent="0.2">
      <c r="C488" s="145"/>
      <c r="D488" s="164" t="s">
        <v>570</v>
      </c>
      <c r="E488" s="137">
        <v>42965</v>
      </c>
      <c r="F488" s="172" t="str">
        <f t="shared" si="25"/>
        <v>2017-18</v>
      </c>
      <c r="H488" s="173" t="s">
        <v>190</v>
      </c>
      <c r="I488" s="174">
        <v>25184.239534746859</v>
      </c>
      <c r="J488" s="168">
        <f>IF(E488&lt;DATE(2016,1,1),IF(OR(M488="metres",M488="pipe"),INDEX('Scheme cost allocation'!$D$21:$D$42,MATCH(IF(MONTH(E488)&lt;7,YEAR(E488),YEAR(E488)+1),'Scheme cost allocation'!$C$21:$C$42,0))*'Scheme cost allocation'!$J$21,'Scheme cost allocation'!$J$21),'Scheme cost allocation'!$J$21)</f>
        <v>0.90850599752846017</v>
      </c>
      <c r="K488" s="47"/>
      <c r="L488" s="169">
        <v>1</v>
      </c>
      <c r="M488" s="175" t="s">
        <v>568</v>
      </c>
      <c r="N488" s="169">
        <v>687.78524579464272</v>
      </c>
      <c r="O488" s="143">
        <f t="shared" si="23"/>
        <v>687.78524579464272</v>
      </c>
      <c r="P488" s="144">
        <f t="shared" si="24"/>
        <v>624.85702081601903</v>
      </c>
    </row>
    <row r="489" spans="3:16" x14ac:dyDescent="0.2">
      <c r="C489" s="145"/>
      <c r="D489" s="164" t="s">
        <v>570</v>
      </c>
      <c r="E489" s="137">
        <v>42965</v>
      </c>
      <c r="F489" s="172" t="str">
        <f t="shared" si="25"/>
        <v>2017-18</v>
      </c>
      <c r="H489" s="173" t="s">
        <v>190</v>
      </c>
      <c r="I489" s="174">
        <v>25184.239534746859</v>
      </c>
      <c r="J489" s="168">
        <f>IF(E489&lt;DATE(2016,1,1),IF(OR(M489="metres",M489="pipe"),INDEX('Scheme cost allocation'!$D$21:$D$42,MATCH(IF(MONTH(E489)&lt;7,YEAR(E489),YEAR(E489)+1),'Scheme cost allocation'!$C$21:$C$42,0))*'Scheme cost allocation'!$J$21,'Scheme cost allocation'!$J$21),'Scheme cost allocation'!$J$21)</f>
        <v>0.90850599752846017</v>
      </c>
      <c r="K489" s="47"/>
      <c r="L489" s="169">
        <v>56.234999999999999</v>
      </c>
      <c r="M489" s="175" t="s">
        <v>191</v>
      </c>
      <c r="N489" s="169">
        <v>211.18714771558126</v>
      </c>
      <c r="O489" s="143">
        <f t="shared" si="23"/>
        <v>11876.109251785712</v>
      </c>
      <c r="P489" s="144">
        <f t="shared" si="24"/>
        <v>10789.516482550553</v>
      </c>
    </row>
    <row r="490" spans="3:16" x14ac:dyDescent="0.2">
      <c r="C490" s="145"/>
      <c r="D490" s="164" t="s">
        <v>570</v>
      </c>
      <c r="E490" s="137">
        <v>43040</v>
      </c>
      <c r="F490" s="172" t="str">
        <f t="shared" si="25"/>
        <v>2017-18</v>
      </c>
      <c r="H490" s="173" t="s">
        <v>190</v>
      </c>
      <c r="I490" s="174">
        <v>25184.239534746859</v>
      </c>
      <c r="J490" s="168">
        <f>IF(E490&lt;DATE(2016,1,1),IF(OR(M490="metres",M490="pipe"),INDEX('Scheme cost allocation'!$D$21:$D$42,MATCH(IF(MONTH(E490)&lt;7,YEAR(E490),YEAR(E490)+1),'Scheme cost allocation'!$C$21:$C$42,0))*'Scheme cost allocation'!$J$21,'Scheme cost allocation'!$J$21),'Scheme cost allocation'!$J$21)</f>
        <v>0.90850599752846017</v>
      </c>
      <c r="K490" s="47"/>
      <c r="L490" s="169">
        <v>1</v>
      </c>
      <c r="M490" s="175" t="s">
        <v>568</v>
      </c>
      <c r="N490" s="169">
        <v>1713.7687801599996</v>
      </c>
      <c r="O490" s="143">
        <f t="shared" si="23"/>
        <v>1713.7687801599996</v>
      </c>
      <c r="P490" s="144">
        <f t="shared" si="24"/>
        <v>1556.9692151523927</v>
      </c>
    </row>
    <row r="491" spans="3:16" x14ac:dyDescent="0.2">
      <c r="C491" s="145"/>
      <c r="D491" s="164" t="s">
        <v>570</v>
      </c>
      <c r="E491" s="137">
        <v>43040</v>
      </c>
      <c r="F491" s="172" t="str">
        <f t="shared" si="25"/>
        <v>2017-18</v>
      </c>
      <c r="H491" s="173" t="s">
        <v>190</v>
      </c>
      <c r="I491" s="174">
        <v>25184.239534746859</v>
      </c>
      <c r="J491" s="168">
        <f>IF(E491&lt;DATE(2016,1,1),IF(OR(M491="metres",M491="pipe"),INDEX('Scheme cost allocation'!$D$21:$D$42,MATCH(IF(MONTH(E491)&lt;7,YEAR(E491),YEAR(E491)+1),'Scheme cost allocation'!$C$21:$C$42,0))*'Scheme cost allocation'!$J$21,'Scheme cost allocation'!$J$21),'Scheme cost allocation'!$J$21)</f>
        <v>0.90850599752846017</v>
      </c>
      <c r="K491" s="47"/>
      <c r="L491" s="169">
        <v>0.5</v>
      </c>
      <c r="M491" s="175" t="s">
        <v>568</v>
      </c>
      <c r="N491" s="169">
        <v>71459.352319999991</v>
      </c>
      <c r="O491" s="143">
        <f t="shared" si="23"/>
        <v>35729.676159999995</v>
      </c>
      <c r="P491" s="144">
        <f t="shared" si="24"/>
        <v>32460.62508110964</v>
      </c>
    </row>
    <row r="492" spans="3:16" x14ac:dyDescent="0.2">
      <c r="C492" s="145"/>
      <c r="D492" s="164" t="s">
        <v>571</v>
      </c>
      <c r="E492" s="137">
        <v>43042</v>
      </c>
      <c r="F492" s="172" t="str">
        <f t="shared" si="25"/>
        <v>2017-18</v>
      </c>
      <c r="H492" s="173" t="s">
        <v>190</v>
      </c>
      <c r="I492" s="174">
        <v>25184.239534746859</v>
      </c>
      <c r="J492" s="168">
        <f>IF(E492&lt;DATE(2016,1,1),IF(OR(M492="metres",M492="pipe"),INDEX('Scheme cost allocation'!$D$21:$D$42,MATCH(IF(MONTH(E492)&lt;7,YEAR(E492),YEAR(E492)+1),'Scheme cost allocation'!$C$21:$C$42,0))*'Scheme cost allocation'!$J$21,'Scheme cost allocation'!$J$21),'Scheme cost allocation'!$J$21)</f>
        <v>0.90850599752846017</v>
      </c>
      <c r="K492" s="47"/>
      <c r="L492" s="169">
        <v>1</v>
      </c>
      <c r="M492" s="175" t="s">
        <v>568</v>
      </c>
      <c r="N492" s="169">
        <v>1713.7687801599996</v>
      </c>
      <c r="O492" s="143">
        <f t="shared" si="23"/>
        <v>1713.7687801599996</v>
      </c>
      <c r="P492" s="144">
        <f t="shared" si="24"/>
        <v>1556.9692151523927</v>
      </c>
    </row>
    <row r="493" spans="3:16" x14ac:dyDescent="0.2">
      <c r="C493" s="145"/>
      <c r="D493" s="164" t="s">
        <v>571</v>
      </c>
      <c r="E493" s="137">
        <v>43042</v>
      </c>
      <c r="F493" s="172" t="str">
        <f t="shared" si="25"/>
        <v>2017-18</v>
      </c>
      <c r="H493" s="173" t="s">
        <v>190</v>
      </c>
      <c r="I493" s="174">
        <v>25184.239534746859</v>
      </c>
      <c r="J493" s="168">
        <f>IF(E493&lt;DATE(2016,1,1),IF(OR(M493="metres",M493="pipe"),INDEX('Scheme cost allocation'!$D$21:$D$42,MATCH(IF(MONTH(E493)&lt;7,YEAR(E493),YEAR(E493)+1),'Scheme cost allocation'!$C$21:$C$42,0))*'Scheme cost allocation'!$J$21,'Scheme cost allocation'!$J$21),'Scheme cost allocation'!$J$21)</f>
        <v>0.90850599752846017</v>
      </c>
      <c r="K493" s="47"/>
      <c r="L493" s="169">
        <v>19.95</v>
      </c>
      <c r="M493" s="175" t="s">
        <v>191</v>
      </c>
      <c r="N493" s="169">
        <v>1598.5616240601503</v>
      </c>
      <c r="O493" s="143">
        <f t="shared" si="23"/>
        <v>31891.304399999997</v>
      </c>
      <c r="P493" s="144">
        <f t="shared" si="24"/>
        <v>28973.44131640577</v>
      </c>
    </row>
    <row r="494" spans="3:16" x14ac:dyDescent="0.2">
      <c r="C494" s="145"/>
      <c r="D494" s="164" t="s">
        <v>572</v>
      </c>
      <c r="E494" s="137">
        <v>43199</v>
      </c>
      <c r="F494" s="172" t="str">
        <f t="shared" si="25"/>
        <v>2017-18</v>
      </c>
      <c r="H494" s="173" t="s">
        <v>190</v>
      </c>
      <c r="I494" s="174">
        <v>25184.239534746859</v>
      </c>
      <c r="J494" s="168">
        <f>IF(E494&lt;DATE(2016,1,1),IF(OR(M494="metres",M494="pipe"),INDEX('Scheme cost allocation'!$D$21:$D$42,MATCH(IF(MONTH(E494)&lt;7,YEAR(E494),YEAR(E494)+1),'Scheme cost allocation'!$C$21:$C$42,0))*'Scheme cost allocation'!$J$21,'Scheme cost allocation'!$J$21),'Scheme cost allocation'!$J$21)</f>
        <v>0.90850599752846017</v>
      </c>
      <c r="K494" s="47"/>
      <c r="L494" s="169">
        <v>1</v>
      </c>
      <c r="M494" s="175" t="s">
        <v>568</v>
      </c>
      <c r="N494" s="169">
        <v>674.53544246059539</v>
      </c>
      <c r="O494" s="143">
        <f t="shared" si="23"/>
        <v>674.53544246059539</v>
      </c>
      <c r="P494" s="144">
        <f t="shared" si="24"/>
        <v>612.8194950209645</v>
      </c>
    </row>
    <row r="495" spans="3:16" x14ac:dyDescent="0.2">
      <c r="C495" s="145"/>
      <c r="D495" s="164" t="s">
        <v>572</v>
      </c>
      <c r="E495" s="137">
        <v>43199</v>
      </c>
      <c r="F495" s="172" t="str">
        <f t="shared" si="25"/>
        <v>2017-18</v>
      </c>
      <c r="H495" s="173" t="s">
        <v>190</v>
      </c>
      <c r="I495" s="174">
        <v>25184.239534746859</v>
      </c>
      <c r="J495" s="168">
        <f>IF(E495&lt;DATE(2016,1,1),IF(OR(M495="metres",M495="pipe"),INDEX('Scheme cost allocation'!$D$21:$D$42,MATCH(IF(MONTH(E495)&lt;7,YEAR(E495),YEAR(E495)+1),'Scheme cost allocation'!$C$21:$C$42,0))*'Scheme cost allocation'!$J$21,'Scheme cost allocation'!$J$21),'Scheme cost allocation'!$J$21)</f>
        <v>0.90850599752846017</v>
      </c>
      <c r="K495" s="47"/>
      <c r="L495" s="169">
        <v>5.25</v>
      </c>
      <c r="M495" s="175" t="s">
        <v>191</v>
      </c>
      <c r="N495" s="169">
        <v>2677.4530898173625</v>
      </c>
      <c r="O495" s="143">
        <f t="shared" si="23"/>
        <v>14056.628721541154</v>
      </c>
      <c r="P495" s="144">
        <f t="shared" si="24"/>
        <v>12770.53149855095</v>
      </c>
    </row>
    <row r="496" spans="3:16" x14ac:dyDescent="0.2">
      <c r="C496" s="145"/>
      <c r="D496" s="164" t="s">
        <v>573</v>
      </c>
      <c r="E496" s="137">
        <v>43272</v>
      </c>
      <c r="F496" s="172" t="str">
        <f t="shared" si="25"/>
        <v>2017-18</v>
      </c>
      <c r="H496" s="173" t="s">
        <v>190</v>
      </c>
      <c r="I496" s="174">
        <v>25184.239534746859</v>
      </c>
      <c r="J496" s="168">
        <f>IF(E496&lt;DATE(2016,1,1),IF(OR(M496="metres",M496="pipe"),INDEX('Scheme cost allocation'!$D$21:$D$42,MATCH(IF(MONTH(E496)&lt;7,YEAR(E496),YEAR(E496)+1),'Scheme cost allocation'!$C$21:$C$42,0))*'Scheme cost allocation'!$J$21,'Scheme cost allocation'!$J$21),'Scheme cost allocation'!$J$21)</f>
        <v>0.90850599752846017</v>
      </c>
      <c r="K496" s="47"/>
      <c r="L496" s="169">
        <v>1</v>
      </c>
      <c r="M496" s="175" t="s">
        <v>568</v>
      </c>
      <c r="N496" s="169">
        <v>33726.982972460595</v>
      </c>
      <c r="O496" s="143">
        <f t="shared" si="23"/>
        <v>33726.982972460595</v>
      </c>
      <c r="P496" s="144">
        <f t="shared" si="24"/>
        <v>30641.166309020704</v>
      </c>
    </row>
    <row r="497" spans="3:16" x14ac:dyDescent="0.2">
      <c r="C497" s="145"/>
      <c r="D497" s="164" t="s">
        <v>573</v>
      </c>
      <c r="E497" s="137">
        <v>43272</v>
      </c>
      <c r="F497" s="172" t="str">
        <f t="shared" si="25"/>
        <v>2017-18</v>
      </c>
      <c r="H497" s="173" t="s">
        <v>190</v>
      </c>
      <c r="I497" s="174">
        <v>25184.239534746859</v>
      </c>
      <c r="J497" s="168">
        <f>IF(E497&lt;DATE(2016,1,1),IF(OR(M497="metres",M497="pipe"),INDEX('Scheme cost allocation'!$D$21:$D$42,MATCH(IF(MONTH(E497)&lt;7,YEAR(E497),YEAR(E497)+1),'Scheme cost allocation'!$C$21:$C$42,0))*'Scheme cost allocation'!$J$21,'Scheme cost allocation'!$J$21),'Scheme cost allocation'!$J$21)</f>
        <v>0.90850599752846017</v>
      </c>
      <c r="K497" s="47"/>
      <c r="L497" s="169">
        <v>1</v>
      </c>
      <c r="M497" s="175" t="s">
        <v>568</v>
      </c>
      <c r="N497" s="169">
        <v>1203837.7969702273</v>
      </c>
      <c r="O497" s="143">
        <f t="shared" si="23"/>
        <v>1203837.7969702273</v>
      </c>
      <c r="P497" s="144">
        <f t="shared" si="24"/>
        <v>1093693.8585989003</v>
      </c>
    </row>
    <row r="498" spans="3:16" x14ac:dyDescent="0.2">
      <c r="C498" s="145"/>
      <c r="D498" s="164" t="s">
        <v>574</v>
      </c>
      <c r="E498" s="137">
        <v>43251</v>
      </c>
      <c r="F498" s="172" t="str">
        <f t="shared" si="25"/>
        <v>2017-18</v>
      </c>
      <c r="H498" s="173" t="s">
        <v>190</v>
      </c>
      <c r="I498" s="174">
        <v>25184.239534746859</v>
      </c>
      <c r="J498" s="168">
        <f>IF(E498&lt;DATE(2016,1,1),IF(OR(M498="metres",M498="pipe"),INDEX('Scheme cost allocation'!$D$21:$D$42,MATCH(IF(MONTH(E498)&lt;7,YEAR(E498),YEAR(E498)+1),'Scheme cost allocation'!$C$21:$C$42,0))*'Scheme cost allocation'!$J$21,'Scheme cost allocation'!$J$21),'Scheme cost allocation'!$J$21)</f>
        <v>0.90850599752846017</v>
      </c>
      <c r="K498" s="47"/>
      <c r="L498" s="169">
        <v>500</v>
      </c>
      <c r="M498" s="175" t="s">
        <v>230</v>
      </c>
      <c r="N498" s="169">
        <v>26392.330646486473</v>
      </c>
      <c r="O498" s="143">
        <f t="shared" si="23"/>
        <v>13196165.323243236</v>
      </c>
      <c r="P498" s="144">
        <f t="shared" si="24"/>
        <v>11988795.340543572</v>
      </c>
    </row>
    <row r="499" spans="3:16" x14ac:dyDescent="0.2">
      <c r="C499" s="145"/>
      <c r="D499" s="164" t="s">
        <v>575</v>
      </c>
      <c r="E499" s="137">
        <v>43251</v>
      </c>
      <c r="F499" s="172" t="str">
        <f t="shared" si="25"/>
        <v>2017-18</v>
      </c>
      <c r="H499" s="173" t="s">
        <v>190</v>
      </c>
      <c r="I499" s="174">
        <v>25184.239534746859</v>
      </c>
      <c r="J499" s="168">
        <f>IF(E499&lt;DATE(2016,1,1),IF(OR(M499="metres",M499="pipe"),INDEX('Scheme cost allocation'!$D$21:$D$42,MATCH(IF(MONTH(E499)&lt;7,YEAR(E499),YEAR(E499)+1),'Scheme cost allocation'!$C$21:$C$42,0))*'Scheme cost allocation'!$J$21,'Scheme cost allocation'!$J$21),'Scheme cost allocation'!$J$21)</f>
        <v>0.90850599752846017</v>
      </c>
      <c r="K499" s="47"/>
      <c r="L499" s="169">
        <v>1</v>
      </c>
      <c r="M499" s="175" t="s">
        <v>558</v>
      </c>
      <c r="N499" s="169">
        <v>291574.41456696141</v>
      </c>
      <c r="O499" s="143">
        <f t="shared" si="23"/>
        <v>291574.41456696141</v>
      </c>
      <c r="P499" s="144">
        <f t="shared" si="24"/>
        <v>264897.10435993405</v>
      </c>
    </row>
    <row r="500" spans="3:16" x14ac:dyDescent="0.2">
      <c r="C500" s="145"/>
      <c r="D500" s="164" t="s">
        <v>576</v>
      </c>
      <c r="E500" s="137">
        <v>42885</v>
      </c>
      <c r="F500" s="172" t="str">
        <f t="shared" si="25"/>
        <v>2016-17</v>
      </c>
      <c r="H500" s="173" t="s">
        <v>190</v>
      </c>
      <c r="I500" s="174">
        <v>25184.239534746859</v>
      </c>
      <c r="J500" s="168">
        <f>IF(E500&lt;DATE(2016,1,1),IF(OR(M500="metres",M500="pipe"),INDEX('Scheme cost allocation'!$D$21:$D$42,MATCH(IF(MONTH(E500)&lt;7,YEAR(E500),YEAR(E500)+1),'Scheme cost allocation'!$C$21:$C$42,0))*'Scheme cost allocation'!$J$21,'Scheme cost allocation'!$J$21),'Scheme cost allocation'!$J$21)</f>
        <v>0.90850599752846017</v>
      </c>
      <c r="K500" s="47"/>
      <c r="L500" s="169">
        <v>1</v>
      </c>
      <c r="M500" s="175" t="s">
        <v>234</v>
      </c>
      <c r="N500" s="169">
        <v>274706.99499680713</v>
      </c>
      <c r="O500" s="143">
        <f t="shared" si="23"/>
        <v>274706.99499680713</v>
      </c>
      <c r="P500" s="144">
        <f t="shared" si="24"/>
        <v>249572.95251761997</v>
      </c>
    </row>
    <row r="501" spans="3:16" x14ac:dyDescent="0.2">
      <c r="C501" s="145"/>
      <c r="D501" s="164" t="s">
        <v>577</v>
      </c>
      <c r="E501" s="137">
        <v>43595</v>
      </c>
      <c r="F501" s="172" t="str">
        <f t="shared" si="25"/>
        <v>2018-19</v>
      </c>
      <c r="H501" s="173" t="s">
        <v>190</v>
      </c>
      <c r="I501" s="174">
        <v>25184.239534746859</v>
      </c>
      <c r="J501" s="168">
        <f>IF(E501&lt;DATE(2016,1,1),IF(OR(M501="metres",M501="pipe"),INDEX('Scheme cost allocation'!$D$21:$D$42,MATCH(IF(MONTH(E501)&lt;7,YEAR(E501),YEAR(E501)+1),'Scheme cost allocation'!$C$21:$C$42,0))*'Scheme cost allocation'!$J$21,'Scheme cost allocation'!$J$21),'Scheme cost allocation'!$J$21)</f>
        <v>0.90850599752846017</v>
      </c>
      <c r="K501" s="47"/>
      <c r="L501" s="169">
        <v>1</v>
      </c>
      <c r="M501" s="175" t="s">
        <v>568</v>
      </c>
      <c r="N501" s="169">
        <v>787.38484974093251</v>
      </c>
      <c r="O501" s="143">
        <f t="shared" si="23"/>
        <v>787.38484974093251</v>
      </c>
      <c r="P501" s="144">
        <f t="shared" si="24"/>
        <v>715.34385835268256</v>
      </c>
    </row>
    <row r="502" spans="3:16" x14ac:dyDescent="0.2">
      <c r="C502" s="145"/>
      <c r="D502" s="164" t="s">
        <v>577</v>
      </c>
      <c r="E502" s="137">
        <v>43595</v>
      </c>
      <c r="F502" s="172" t="str">
        <f t="shared" si="25"/>
        <v>2018-19</v>
      </c>
      <c r="H502" s="173" t="s">
        <v>190</v>
      </c>
      <c r="I502" s="174">
        <v>25184.239534746859</v>
      </c>
      <c r="J502" s="168">
        <f>IF(E502&lt;DATE(2016,1,1),IF(OR(M502="metres",M502="pipe"),INDEX('Scheme cost allocation'!$D$21:$D$42,MATCH(IF(MONTH(E502)&lt;7,YEAR(E502),YEAR(E502)+1),'Scheme cost allocation'!$C$21:$C$42,0))*'Scheme cost allocation'!$J$21,'Scheme cost allocation'!$J$21),'Scheme cost allocation'!$J$21)</f>
        <v>0.90850599752846017</v>
      </c>
      <c r="K502" s="47"/>
      <c r="L502" s="169">
        <v>1</v>
      </c>
      <c r="M502" s="175" t="s">
        <v>568</v>
      </c>
      <c r="N502" s="169">
        <v>8004.9314399999994</v>
      </c>
      <c r="O502" s="143">
        <f t="shared" si="23"/>
        <v>8004.9314399999994</v>
      </c>
      <c r="P502" s="144">
        <f t="shared" si="24"/>
        <v>7272.5282230441326</v>
      </c>
    </row>
    <row r="503" spans="3:16" x14ac:dyDescent="0.2">
      <c r="C503" s="145"/>
      <c r="D503" s="164" t="s">
        <v>578</v>
      </c>
      <c r="E503" s="137">
        <v>43616</v>
      </c>
      <c r="F503" s="172" t="str">
        <f t="shared" si="25"/>
        <v>2018-19</v>
      </c>
      <c r="H503" s="173" t="s">
        <v>190</v>
      </c>
      <c r="I503" s="174">
        <v>25184.239534746859</v>
      </c>
      <c r="J503" s="168">
        <f>IF(E503&lt;DATE(2016,1,1),IF(OR(M503="metres",M503="pipe"),INDEX('Scheme cost allocation'!$D$21:$D$42,MATCH(IF(MONTH(E503)&lt;7,YEAR(E503),YEAR(E503)+1),'Scheme cost allocation'!$C$21:$C$42,0))*'Scheme cost allocation'!$J$21,'Scheme cost allocation'!$J$21),'Scheme cost allocation'!$J$21)</f>
        <v>0.90850599752846017</v>
      </c>
      <c r="K503" s="47"/>
      <c r="L503" s="169">
        <v>1900</v>
      </c>
      <c r="M503" s="175" t="s">
        <v>230</v>
      </c>
      <c r="N503" s="169">
        <v>3151.8091860908094</v>
      </c>
      <c r="O503" s="143">
        <f t="shared" si="23"/>
        <v>5988437.4535725378</v>
      </c>
      <c r="P503" s="144">
        <f t="shared" si="24"/>
        <v>5440531.3423947105</v>
      </c>
    </row>
    <row r="504" spans="3:16" x14ac:dyDescent="0.2">
      <c r="C504" s="145"/>
      <c r="D504" s="164" t="s">
        <v>570</v>
      </c>
      <c r="E504" s="137">
        <v>43657</v>
      </c>
      <c r="F504" s="172" t="str">
        <f t="shared" si="25"/>
        <v>2019-20</v>
      </c>
      <c r="H504" s="173" t="s">
        <v>190</v>
      </c>
      <c r="I504" s="174">
        <v>25184.239534746859</v>
      </c>
      <c r="J504" s="168">
        <f>IF(E504&lt;DATE(2016,1,1),IF(OR(M504="metres",M504="pipe"),INDEX('Scheme cost allocation'!$D$21:$D$42,MATCH(IF(MONTH(E504)&lt;7,YEAR(E504),YEAR(E504)+1),'Scheme cost allocation'!$C$21:$C$42,0))*'Scheme cost allocation'!$J$21,'Scheme cost allocation'!$J$21),'Scheme cost allocation'!$J$21)</f>
        <v>0.90850599752846017</v>
      </c>
      <c r="K504" s="47"/>
      <c r="L504" s="169">
        <v>1</v>
      </c>
      <c r="M504" s="175" t="s">
        <v>568</v>
      </c>
      <c r="N504" s="169">
        <v>3938.3104896373052</v>
      </c>
      <c r="O504" s="143">
        <f t="shared" si="23"/>
        <v>3938.3104896373052</v>
      </c>
      <c r="P504" s="144">
        <f t="shared" si="24"/>
        <v>3577.9786999647386</v>
      </c>
    </row>
    <row r="505" spans="3:16" x14ac:dyDescent="0.2">
      <c r="C505" s="145"/>
      <c r="D505" s="164" t="s">
        <v>570</v>
      </c>
      <c r="E505" s="137">
        <v>43657</v>
      </c>
      <c r="F505" s="172" t="str">
        <f t="shared" si="25"/>
        <v>2019-20</v>
      </c>
      <c r="H505" s="173" t="s">
        <v>190</v>
      </c>
      <c r="I505" s="174">
        <v>25184.239534746859</v>
      </c>
      <c r="J505" s="168">
        <f>IF(E505&lt;DATE(2016,1,1),IF(OR(M505="metres",M505="pipe"),INDEX('Scheme cost allocation'!$D$21:$D$42,MATCH(IF(MONTH(E505)&lt;7,YEAR(E505),YEAR(E505)+1),'Scheme cost allocation'!$C$21:$C$42,0))*'Scheme cost allocation'!$J$21,'Scheme cost allocation'!$J$21),'Scheme cost allocation'!$J$21)</f>
        <v>0.90850599752846017</v>
      </c>
      <c r="K505" s="47"/>
      <c r="L505" s="169">
        <v>1</v>
      </c>
      <c r="M505" s="175" t="s">
        <v>568</v>
      </c>
      <c r="N505" s="169">
        <v>118585.48153616578</v>
      </c>
      <c r="O505" s="143">
        <f t="shared" si="23"/>
        <v>118585.48153616578</v>
      </c>
      <c r="P505" s="144">
        <f t="shared" si="24"/>
        <v>107735.62119540709</v>
      </c>
    </row>
    <row r="506" spans="3:16" x14ac:dyDescent="0.2">
      <c r="C506" s="145"/>
      <c r="D506" s="164" t="s">
        <v>572</v>
      </c>
      <c r="E506" s="137">
        <v>43676</v>
      </c>
      <c r="F506" s="172" t="str">
        <f t="shared" si="25"/>
        <v>2019-20</v>
      </c>
      <c r="H506" s="173" t="s">
        <v>190</v>
      </c>
      <c r="I506" s="174">
        <v>25184.239534746859</v>
      </c>
      <c r="J506" s="168">
        <f>IF(E506&lt;DATE(2016,1,1),IF(OR(M506="metres",M506="pipe"),INDEX('Scheme cost allocation'!$D$21:$D$42,MATCH(IF(MONTH(E506)&lt;7,YEAR(E506),YEAR(E506)+1),'Scheme cost allocation'!$C$21:$C$42,0))*'Scheme cost allocation'!$J$21,'Scheme cost allocation'!$J$21),'Scheme cost allocation'!$J$21)</f>
        <v>0.90850599752846017</v>
      </c>
      <c r="K506" s="47"/>
      <c r="L506" s="169">
        <v>1</v>
      </c>
      <c r="M506" s="175" t="s">
        <v>568</v>
      </c>
      <c r="N506" s="169">
        <v>7876.6209792746104</v>
      </c>
      <c r="O506" s="143">
        <f t="shared" si="23"/>
        <v>7876.6209792746104</v>
      </c>
      <c r="P506" s="144">
        <f t="shared" si="24"/>
        <v>7155.9573999294771</v>
      </c>
    </row>
    <row r="507" spans="3:16" x14ac:dyDescent="0.2">
      <c r="C507" s="145"/>
      <c r="D507" s="164" t="s">
        <v>572</v>
      </c>
      <c r="E507" s="137">
        <v>43676</v>
      </c>
      <c r="F507" s="172" t="str">
        <f t="shared" si="25"/>
        <v>2019-20</v>
      </c>
      <c r="H507" s="173" t="s">
        <v>190</v>
      </c>
      <c r="I507" s="174">
        <v>25184.239534746859</v>
      </c>
      <c r="J507" s="168">
        <f>IF(E507&lt;DATE(2016,1,1),IF(OR(M507="metres",M507="pipe"),INDEX('Scheme cost allocation'!$D$21:$D$42,MATCH(IF(MONTH(E507)&lt;7,YEAR(E507),YEAR(E507)+1),'Scheme cost allocation'!$C$21:$C$42,0))*'Scheme cost allocation'!$J$21,'Scheme cost allocation'!$J$21),'Scheme cost allocation'!$J$21)</f>
        <v>0.90850599752846017</v>
      </c>
      <c r="K507" s="47"/>
      <c r="L507" s="169">
        <v>11.6</v>
      </c>
      <c r="M507" s="175" t="s">
        <v>191</v>
      </c>
      <c r="N507" s="169">
        <v>19950.786672802395</v>
      </c>
      <c r="O507" s="143">
        <f t="shared" si="23"/>
        <v>231429.12540450777</v>
      </c>
      <c r="P507" s="144">
        <f t="shared" si="24"/>
        <v>210254.74843276144</v>
      </c>
    </row>
    <row r="508" spans="3:16" x14ac:dyDescent="0.2">
      <c r="C508" s="145"/>
      <c r="D508" s="164" t="s">
        <v>571</v>
      </c>
      <c r="E508" s="137">
        <v>43682</v>
      </c>
      <c r="F508" s="172" t="str">
        <f t="shared" si="25"/>
        <v>2019-20</v>
      </c>
      <c r="H508" s="173" t="s">
        <v>190</v>
      </c>
      <c r="I508" s="174">
        <v>25184.239534746859</v>
      </c>
      <c r="J508" s="168">
        <f>IF(E508&lt;DATE(2016,1,1),IF(OR(M508="metres",M508="pipe"),INDEX('Scheme cost allocation'!$D$21:$D$42,MATCH(IF(MONTH(E508)&lt;7,YEAR(E508),YEAR(E508)+1),'Scheme cost allocation'!$C$21:$C$42,0))*'Scheme cost allocation'!$J$21,'Scheme cost allocation'!$J$21),'Scheme cost allocation'!$J$21)</f>
        <v>0.90850599752846017</v>
      </c>
      <c r="K508" s="47"/>
      <c r="L508" s="169">
        <v>1</v>
      </c>
      <c r="M508" s="175" t="s">
        <v>568</v>
      </c>
      <c r="N508" s="169">
        <v>7876.6209792746104</v>
      </c>
      <c r="O508" s="143">
        <f t="shared" si="23"/>
        <v>7876.6209792746104</v>
      </c>
      <c r="P508" s="144">
        <f t="shared" si="24"/>
        <v>7155.9573999294771</v>
      </c>
    </row>
    <row r="509" spans="3:16" x14ac:dyDescent="0.2">
      <c r="C509" s="145"/>
      <c r="D509" s="164" t="s">
        <v>571</v>
      </c>
      <c r="E509" s="137">
        <v>43682</v>
      </c>
      <c r="F509" s="172" t="str">
        <f t="shared" si="25"/>
        <v>2019-20</v>
      </c>
      <c r="H509" s="173" t="s">
        <v>190</v>
      </c>
      <c r="I509" s="174">
        <v>25184.239534746859</v>
      </c>
      <c r="J509" s="168">
        <f>IF(E509&lt;DATE(2016,1,1),IF(OR(M509="metres",M509="pipe"),INDEX('Scheme cost allocation'!$D$21:$D$42,MATCH(IF(MONTH(E509)&lt;7,YEAR(E509),YEAR(E509)+1),'Scheme cost allocation'!$C$21:$C$42,0))*'Scheme cost allocation'!$J$21,'Scheme cost allocation'!$J$21),'Scheme cost allocation'!$J$21)</f>
        <v>0.90850599752846017</v>
      </c>
      <c r="K509" s="47"/>
      <c r="L509" s="169">
        <v>1</v>
      </c>
      <c r="M509" s="175" t="s">
        <v>568</v>
      </c>
      <c r="N509" s="169">
        <v>174264.69420272019</v>
      </c>
      <c r="O509" s="143">
        <f t="shared" si="23"/>
        <v>174264.69420272019</v>
      </c>
      <c r="P509" s="144">
        <f t="shared" si="24"/>
        <v>158320.51984063437</v>
      </c>
    </row>
    <row r="510" spans="3:16" x14ac:dyDescent="0.2">
      <c r="C510" s="145"/>
      <c r="D510" s="164" t="s">
        <v>570</v>
      </c>
      <c r="E510" s="137">
        <v>43742</v>
      </c>
      <c r="F510" s="172" t="str">
        <f t="shared" si="25"/>
        <v>2019-20</v>
      </c>
      <c r="H510" s="173" t="s">
        <v>190</v>
      </c>
      <c r="I510" s="174">
        <v>25184.239534746859</v>
      </c>
      <c r="J510" s="168">
        <f>IF(E510&lt;DATE(2016,1,1),IF(OR(M510="metres",M510="pipe"),INDEX('Scheme cost allocation'!$D$21:$D$42,MATCH(IF(MONTH(E510)&lt;7,YEAR(E510),YEAR(E510)+1),'Scheme cost allocation'!$C$21:$C$42,0))*'Scheme cost allocation'!$J$21,'Scheme cost allocation'!$J$21),'Scheme cost allocation'!$J$21)</f>
        <v>0.90850599752846017</v>
      </c>
      <c r="K510" s="47"/>
      <c r="L510" s="169">
        <v>1</v>
      </c>
      <c r="M510" s="175" t="s">
        <v>568</v>
      </c>
      <c r="N510" s="169">
        <v>3931.5202991379301</v>
      </c>
      <c r="O510" s="143">
        <f t="shared" si="23"/>
        <v>3931.5202991379301</v>
      </c>
      <c r="P510" s="144">
        <f t="shared" si="24"/>
        <v>3571.8097711716955</v>
      </c>
    </row>
    <row r="511" spans="3:16" x14ac:dyDescent="0.2">
      <c r="C511" s="145"/>
      <c r="D511" s="164" t="s">
        <v>570</v>
      </c>
      <c r="E511" s="137">
        <v>43742</v>
      </c>
      <c r="F511" s="172" t="str">
        <f t="shared" si="25"/>
        <v>2019-20</v>
      </c>
      <c r="H511" s="173" t="s">
        <v>190</v>
      </c>
      <c r="I511" s="174">
        <v>25184.239534746859</v>
      </c>
      <c r="J511" s="168">
        <f>IF(E511&lt;DATE(2016,1,1),IF(OR(M511="metres",M511="pipe"),INDEX('Scheme cost allocation'!$D$21:$D$42,MATCH(IF(MONTH(E511)&lt;7,YEAR(E511),YEAR(E511)+1),'Scheme cost allocation'!$C$21:$C$42,0))*'Scheme cost allocation'!$J$21,'Scheme cost allocation'!$J$21),'Scheme cost allocation'!$J$21)</f>
        <v>0.90850599752846017</v>
      </c>
      <c r="K511" s="47"/>
      <c r="L511" s="169">
        <v>1</v>
      </c>
      <c r="M511" s="175" t="s">
        <v>568</v>
      </c>
      <c r="N511" s="169">
        <v>118381.02380937929</v>
      </c>
      <c r="O511" s="143">
        <f t="shared" si="23"/>
        <v>118381.02380937929</v>
      </c>
      <c r="P511" s="144">
        <f t="shared" si="24"/>
        <v>107549.87012438053</v>
      </c>
    </row>
    <row r="512" spans="3:16" x14ac:dyDescent="0.2">
      <c r="C512" s="145"/>
      <c r="D512" s="164" t="s">
        <v>571</v>
      </c>
      <c r="E512" s="137">
        <v>43775</v>
      </c>
      <c r="F512" s="172" t="str">
        <f t="shared" si="25"/>
        <v>2019-20</v>
      </c>
      <c r="H512" s="173" t="s">
        <v>190</v>
      </c>
      <c r="I512" s="174">
        <v>25184.239534746859</v>
      </c>
      <c r="J512" s="168">
        <f>IF(E512&lt;DATE(2016,1,1),IF(OR(M512="metres",M512="pipe"),INDEX('Scheme cost allocation'!$D$21:$D$42,MATCH(IF(MONTH(E512)&lt;7,YEAR(E512),YEAR(E512)+1),'Scheme cost allocation'!$C$21:$C$42,0))*'Scheme cost allocation'!$J$21,'Scheme cost allocation'!$J$21),'Scheme cost allocation'!$J$21)</f>
        <v>0.90850599752846017</v>
      </c>
      <c r="K512" s="47"/>
      <c r="L512" s="169">
        <v>1</v>
      </c>
      <c r="M512" s="175" t="s">
        <v>568</v>
      </c>
      <c r="N512" s="169">
        <v>1967.8359258620685</v>
      </c>
      <c r="O512" s="143">
        <f t="shared" si="23"/>
        <v>1967.8359258620685</v>
      </c>
      <c r="P512" s="144">
        <f t="shared" si="24"/>
        <v>1787.7907407976595</v>
      </c>
    </row>
    <row r="513" spans="3:16" x14ac:dyDescent="0.2">
      <c r="C513" s="145"/>
      <c r="D513" s="164" t="s">
        <v>571</v>
      </c>
      <c r="E513" s="137">
        <v>43775</v>
      </c>
      <c r="F513" s="172" t="str">
        <f t="shared" si="25"/>
        <v>2019-20</v>
      </c>
      <c r="H513" s="173" t="s">
        <v>190</v>
      </c>
      <c r="I513" s="174">
        <v>25184.239534746859</v>
      </c>
      <c r="J513" s="168">
        <f>IF(E513&lt;DATE(2016,1,1),IF(OR(M513="metres",M513="pipe"),INDEX('Scheme cost allocation'!$D$21:$D$42,MATCH(IF(MONTH(E513)&lt;7,YEAR(E513),YEAR(E513)+1),'Scheme cost allocation'!$C$21:$C$42,0))*'Scheme cost allocation'!$J$21,'Scheme cost allocation'!$J$21),'Scheme cost allocation'!$J$21)</f>
        <v>0.90850599752846017</v>
      </c>
      <c r="K513" s="47"/>
      <c r="L513" s="169">
        <v>3.1509999999999998</v>
      </c>
      <c r="M513" s="175" t="s">
        <v>191</v>
      </c>
      <c r="N513" s="169">
        <v>2415.4807176703616</v>
      </c>
      <c r="O513" s="143">
        <f t="shared" si="23"/>
        <v>7611.1797413793092</v>
      </c>
      <c r="P513" s="144">
        <f t="shared" si="24"/>
        <v>6914.8024433102173</v>
      </c>
    </row>
    <row r="514" spans="3:16" x14ac:dyDescent="0.2">
      <c r="C514" s="145"/>
      <c r="D514" s="164" t="s">
        <v>571</v>
      </c>
      <c r="E514" s="137">
        <v>43775</v>
      </c>
      <c r="F514" s="172" t="str">
        <f t="shared" si="25"/>
        <v>2019-20</v>
      </c>
      <c r="H514" s="173" t="s">
        <v>190</v>
      </c>
      <c r="I514" s="174">
        <v>25184.239534746859</v>
      </c>
      <c r="J514" s="168">
        <f>IF(E514&lt;DATE(2016,1,1),IF(OR(M514="metres",M514="pipe"),INDEX('Scheme cost allocation'!$D$21:$D$42,MATCH(IF(MONTH(E514)&lt;7,YEAR(E514),YEAR(E514)+1),'Scheme cost allocation'!$C$21:$C$42,0))*'Scheme cost allocation'!$J$21,'Scheme cost allocation'!$J$21),'Scheme cost allocation'!$J$21)</f>
        <v>0.90850599752846017</v>
      </c>
      <c r="K514" s="47"/>
      <c r="L514" s="169">
        <v>12.064</v>
      </c>
      <c r="M514" s="175" t="s">
        <v>191</v>
      </c>
      <c r="N514" s="169">
        <v>1950.0550940958562</v>
      </c>
      <c r="O514" s="143">
        <f t="shared" si="23"/>
        <v>23525.464655172411</v>
      </c>
      <c r="P514" s="144">
        <f t="shared" si="24"/>
        <v>21373.025733867944</v>
      </c>
    </row>
    <row r="515" spans="3:16" x14ac:dyDescent="0.2">
      <c r="C515" s="145"/>
      <c r="D515" s="164" t="s">
        <v>570</v>
      </c>
      <c r="E515" s="137">
        <v>43775</v>
      </c>
      <c r="F515" s="172" t="str">
        <f t="shared" si="25"/>
        <v>2019-20</v>
      </c>
      <c r="H515" s="173" t="s">
        <v>190</v>
      </c>
      <c r="I515" s="174">
        <v>25184.239534746859</v>
      </c>
      <c r="J515" s="168">
        <f>IF(E515&lt;DATE(2016,1,1),IF(OR(M515="metres",M515="pipe"),INDEX('Scheme cost allocation'!$D$21:$D$42,MATCH(IF(MONTH(E515)&lt;7,YEAR(E515),YEAR(E515)+1),'Scheme cost allocation'!$C$21:$C$42,0))*'Scheme cost allocation'!$J$21,'Scheme cost allocation'!$J$21),'Scheme cost allocation'!$J$21)</f>
        <v>0.90850599752846017</v>
      </c>
      <c r="K515" s="47"/>
      <c r="L515" s="169">
        <v>2.4820000000000002</v>
      </c>
      <c r="M515" s="175" t="s">
        <v>191</v>
      </c>
      <c r="N515" s="169">
        <v>1951.4415863180407</v>
      </c>
      <c r="O515" s="143">
        <f t="shared" si="23"/>
        <v>4843.4780172413775</v>
      </c>
      <c r="P515" s="144">
        <f t="shared" si="24"/>
        <v>4400.3288275610457</v>
      </c>
    </row>
    <row r="516" spans="3:16" x14ac:dyDescent="0.2">
      <c r="C516" s="145"/>
      <c r="D516" s="164" t="s">
        <v>579</v>
      </c>
      <c r="E516" s="137">
        <v>43646</v>
      </c>
      <c r="F516" s="172" t="str">
        <f t="shared" si="25"/>
        <v>2018-19</v>
      </c>
      <c r="H516" s="173" t="s">
        <v>190</v>
      </c>
      <c r="I516" s="174">
        <v>25184.239534746859</v>
      </c>
      <c r="J516" s="168">
        <f>IF(E516&lt;DATE(2016,1,1),IF(OR(M516="metres",M516="pipe"),INDEX('Scheme cost allocation'!$D$21:$D$42,MATCH(IF(MONTH(E516)&lt;7,YEAR(E516),YEAR(E516)+1),'Scheme cost allocation'!$C$21:$C$42,0))*'Scheme cost allocation'!$J$21,'Scheme cost allocation'!$J$21),'Scheme cost allocation'!$J$21)</f>
        <v>0.90850599752846017</v>
      </c>
      <c r="K516" s="47"/>
      <c r="L516" s="169">
        <v>1</v>
      </c>
      <c r="M516" s="175" t="s">
        <v>558</v>
      </c>
      <c r="N516" s="169">
        <v>296754.89761072537</v>
      </c>
      <c r="O516" s="143">
        <f t="shared" si="23"/>
        <v>296754.89761072537</v>
      </c>
      <c r="P516" s="144">
        <f t="shared" si="24"/>
        <v>269603.60427528812</v>
      </c>
    </row>
    <row r="517" spans="3:16" x14ac:dyDescent="0.2">
      <c r="C517" s="145"/>
      <c r="D517" s="164" t="s">
        <v>570</v>
      </c>
      <c r="E517" s="137">
        <v>43804</v>
      </c>
      <c r="F517" s="172" t="str">
        <f t="shared" si="25"/>
        <v>2019-20</v>
      </c>
      <c r="H517" s="173" t="s">
        <v>190</v>
      </c>
      <c r="I517" s="174">
        <v>25184.239534746859</v>
      </c>
      <c r="J517" s="168">
        <f>IF(E517&lt;DATE(2016,1,1),IF(OR(M517="metres",M517="pipe"),INDEX('Scheme cost allocation'!$D$21:$D$42,MATCH(IF(MONTH(E517)&lt;7,YEAR(E517),YEAR(E517)+1),'Scheme cost allocation'!$C$21:$C$42,0))*'Scheme cost allocation'!$J$21,'Scheme cost allocation'!$J$21),'Scheme cost allocation'!$J$21)</f>
        <v>0.90850599752846017</v>
      </c>
      <c r="K517" s="47"/>
      <c r="L517" s="169">
        <v>1</v>
      </c>
      <c r="M517" s="175" t="s">
        <v>568</v>
      </c>
      <c r="N517" s="169">
        <v>1967.8359258620685</v>
      </c>
      <c r="O517" s="143">
        <f t="shared" si="23"/>
        <v>1967.8359258620685</v>
      </c>
      <c r="P517" s="144">
        <f t="shared" si="24"/>
        <v>1787.7907407976595</v>
      </c>
    </row>
    <row r="518" spans="3:16" x14ac:dyDescent="0.2">
      <c r="C518" s="145"/>
      <c r="D518" s="164" t="s">
        <v>570</v>
      </c>
      <c r="E518" s="137">
        <v>43804</v>
      </c>
      <c r="F518" s="172" t="str">
        <f t="shared" si="25"/>
        <v>2019-20</v>
      </c>
      <c r="H518" s="173" t="s">
        <v>190</v>
      </c>
      <c r="I518" s="174">
        <v>25184.239534746859</v>
      </c>
      <c r="J518" s="168">
        <f>IF(E518&lt;DATE(2016,1,1),IF(OR(M518="metres",M518="pipe"),INDEX('Scheme cost allocation'!$D$21:$D$42,MATCH(IF(MONTH(E518)&lt;7,YEAR(E518),YEAR(E518)+1),'Scheme cost allocation'!$C$21:$C$42,0))*'Scheme cost allocation'!$J$21,'Scheme cost allocation'!$J$21),'Scheme cost allocation'!$J$21)</f>
        <v>0.90850599752846017</v>
      </c>
      <c r="K518" s="47"/>
      <c r="L518" s="169">
        <v>21.62</v>
      </c>
      <c r="M518" s="175" t="s">
        <v>191</v>
      </c>
      <c r="N518" s="169">
        <v>2189.0702813486869</v>
      </c>
      <c r="O518" s="143">
        <f t="shared" si="23"/>
        <v>47327.69948275861</v>
      </c>
      <c r="P518" s="144">
        <f t="shared" si="24"/>
        <v>42997.498829310796</v>
      </c>
    </row>
    <row r="519" spans="3:16" x14ac:dyDescent="0.2">
      <c r="C519" s="145"/>
      <c r="D519" s="164" t="s">
        <v>578</v>
      </c>
      <c r="E519" s="137">
        <v>43616</v>
      </c>
      <c r="F519" s="172" t="str">
        <f t="shared" si="25"/>
        <v>2018-19</v>
      </c>
      <c r="H519" s="173" t="s">
        <v>190</v>
      </c>
      <c r="I519" s="174">
        <v>25184.239534746859</v>
      </c>
      <c r="J519" s="168">
        <f>IF(E519&lt;DATE(2016,1,1),IF(OR(M519="metres",M519="pipe"),INDEX('Scheme cost allocation'!$D$21:$D$42,MATCH(IF(MONTH(E519)&lt;7,YEAR(E519),YEAR(E519)+1),'Scheme cost allocation'!$C$21:$C$42,0))*'Scheme cost allocation'!$J$21,'Scheme cost allocation'!$J$21),'Scheme cost allocation'!$J$21)</f>
        <v>0.90850599752846017</v>
      </c>
      <c r="K519" s="47"/>
      <c r="L519" s="169">
        <v>1</v>
      </c>
      <c r="M519" s="175" t="s">
        <v>230</v>
      </c>
      <c r="N519" s="169">
        <v>2408658.6490284712</v>
      </c>
      <c r="O519" s="143">
        <f t="shared" si="23"/>
        <v>2408658.6490284712</v>
      </c>
      <c r="P519" s="144">
        <f t="shared" si="24"/>
        <v>2188280.8286411646</v>
      </c>
    </row>
    <row r="520" spans="3:16" x14ac:dyDescent="0.2">
      <c r="C520" s="145"/>
      <c r="D520" s="164" t="s">
        <v>580</v>
      </c>
      <c r="E520" s="137">
        <v>43616</v>
      </c>
      <c r="F520" s="172" t="str">
        <f t="shared" si="25"/>
        <v>2018-19</v>
      </c>
      <c r="H520" s="173" t="s">
        <v>190</v>
      </c>
      <c r="I520" s="174">
        <v>25184.239534746859</v>
      </c>
      <c r="J520" s="168">
        <f>IF(E520&lt;DATE(2016,1,1),IF(OR(M520="metres",M520="pipe"),INDEX('Scheme cost allocation'!$D$21:$D$42,MATCH(IF(MONTH(E520)&lt;7,YEAR(E520),YEAR(E520)+1),'Scheme cost allocation'!$C$21:$C$42,0))*'Scheme cost allocation'!$J$21,'Scheme cost allocation'!$J$21),'Scheme cost allocation'!$J$21)</f>
        <v>0.90850599752846017</v>
      </c>
      <c r="K520" s="47"/>
      <c r="L520" s="169">
        <v>1</v>
      </c>
      <c r="M520" s="175" t="s">
        <v>230</v>
      </c>
      <c r="N520" s="169">
        <v>3283574.0782346884</v>
      </c>
      <c r="O520" s="143">
        <f t="shared" si="23"/>
        <v>3283574.0782346884</v>
      </c>
      <c r="P520" s="144">
        <f t="shared" si="24"/>
        <v>2983146.7434051996</v>
      </c>
    </row>
    <row r="521" spans="3:16" x14ac:dyDescent="0.2">
      <c r="C521" s="145"/>
      <c r="D521" s="164" t="s">
        <v>581</v>
      </c>
      <c r="E521" s="137">
        <v>43616</v>
      </c>
      <c r="F521" s="172" t="str">
        <f t="shared" si="25"/>
        <v>2018-19</v>
      </c>
      <c r="H521" s="173" t="s">
        <v>190</v>
      </c>
      <c r="I521" s="174">
        <v>25184.239534746859</v>
      </c>
      <c r="J521" s="168">
        <f>IF(E521&lt;DATE(2016,1,1),IF(OR(M521="metres",M521="pipe"),INDEX('Scheme cost allocation'!$D$21:$D$42,MATCH(IF(MONTH(E521)&lt;7,YEAR(E521),YEAR(E521)+1),'Scheme cost allocation'!$C$21:$C$42,0))*'Scheme cost allocation'!$J$21,'Scheme cost allocation'!$J$21),'Scheme cost allocation'!$J$21)</f>
        <v>0.90850599752846017</v>
      </c>
      <c r="K521" s="47"/>
      <c r="L521" s="169">
        <v>1</v>
      </c>
      <c r="M521" s="175" t="s">
        <v>230</v>
      </c>
      <c r="N521" s="169">
        <v>49993.060296994809</v>
      </c>
      <c r="O521" s="143">
        <f t="shared" si="23"/>
        <v>49993.060296994809</v>
      </c>
      <c r="P521" s="144">
        <f t="shared" si="24"/>
        <v>45418.995114621728</v>
      </c>
    </row>
    <row r="522" spans="3:16" x14ac:dyDescent="0.2">
      <c r="C522" s="145"/>
      <c r="D522" s="164" t="s">
        <v>582</v>
      </c>
      <c r="E522" s="137">
        <v>44012</v>
      </c>
      <c r="F522" s="172" t="str">
        <f t="shared" si="25"/>
        <v>2019-20</v>
      </c>
      <c r="H522" s="173" t="s">
        <v>190</v>
      </c>
      <c r="I522" s="174">
        <v>25184.239534746859</v>
      </c>
      <c r="J522" s="168">
        <f>IF(E522&lt;DATE(2016,1,1),IF(OR(M522="metres",M522="pipe"),INDEX('Scheme cost allocation'!$D$21:$D$42,MATCH(IF(MONTH(E522)&lt;7,YEAR(E522),YEAR(E522)+1),'Scheme cost allocation'!$C$21:$C$42,0))*'Scheme cost allocation'!$J$21,'Scheme cost allocation'!$J$21),'Scheme cost allocation'!$J$21)</f>
        <v>0.90850599752846017</v>
      </c>
      <c r="K522" s="47"/>
      <c r="L522" s="169">
        <v>1</v>
      </c>
      <c r="M522" s="175" t="s">
        <v>558</v>
      </c>
      <c r="N522" s="169">
        <v>111268.50188801202</v>
      </c>
      <c r="O522" s="143">
        <f t="shared" si="23"/>
        <v>111268.50188801202</v>
      </c>
      <c r="P522" s="144">
        <f t="shared" si="24"/>
        <v>101088.10130126572</v>
      </c>
    </row>
    <row r="523" spans="3:16" x14ac:dyDescent="0.2">
      <c r="C523" s="145"/>
      <c r="D523" s="164" t="s">
        <v>580</v>
      </c>
      <c r="E523" s="137">
        <v>43616</v>
      </c>
      <c r="F523" s="172" t="str">
        <f t="shared" si="25"/>
        <v>2018-19</v>
      </c>
      <c r="H523" s="173" t="s">
        <v>190</v>
      </c>
      <c r="I523" s="174">
        <v>25184.239534746859</v>
      </c>
      <c r="J523" s="168">
        <f>IF(E523&lt;DATE(2016,1,1),IF(OR(M523="metres",M523="pipe"),INDEX('Scheme cost allocation'!$D$21:$D$42,MATCH(IF(MONTH(E523)&lt;7,YEAR(E523),YEAR(E523)+1),'Scheme cost allocation'!$C$21:$C$42,0))*'Scheme cost allocation'!$J$21,'Scheme cost allocation'!$J$21),'Scheme cost allocation'!$J$21)</f>
        <v>0.90850599752846017</v>
      </c>
      <c r="K523" s="47"/>
      <c r="L523" s="169">
        <v>1</v>
      </c>
      <c r="M523" s="175" t="s">
        <v>230</v>
      </c>
      <c r="N523" s="169">
        <v>42631.829834067343</v>
      </c>
      <c r="O523" s="143">
        <f t="shared" si="23"/>
        <v>42631.829834067343</v>
      </c>
      <c r="P523" s="144">
        <f t="shared" si="24"/>
        <v>38731.273089862923</v>
      </c>
    </row>
    <row r="524" spans="3:16" x14ac:dyDescent="0.2">
      <c r="C524" s="145"/>
      <c r="D524" s="164" t="s">
        <v>580</v>
      </c>
      <c r="E524" s="137">
        <v>43616</v>
      </c>
      <c r="F524" s="172" t="str">
        <f t="shared" si="25"/>
        <v>2018-19</v>
      </c>
      <c r="H524" s="173" t="s">
        <v>190</v>
      </c>
      <c r="I524" s="174">
        <v>25184.239534746859</v>
      </c>
      <c r="J524" s="168">
        <f>IF(E524&lt;DATE(2016,1,1),IF(OR(M524="metres",M524="pipe"),INDEX('Scheme cost allocation'!$D$21:$D$42,MATCH(IF(MONTH(E524)&lt;7,YEAR(E524),YEAR(E524)+1),'Scheme cost allocation'!$C$21:$C$42,0))*'Scheme cost allocation'!$J$21,'Scheme cost allocation'!$J$21),'Scheme cost allocation'!$J$21)</f>
        <v>0.90850599752846017</v>
      </c>
      <c r="K524" s="47"/>
      <c r="L524" s="169">
        <v>1</v>
      </c>
      <c r="M524" s="175" t="s">
        <v>230</v>
      </c>
      <c r="N524" s="169">
        <v>165133.51131699479</v>
      </c>
      <c r="O524" s="143">
        <f t="shared" si="23"/>
        <v>165133.51131699479</v>
      </c>
      <c r="P524" s="144">
        <f t="shared" si="24"/>
        <v>150024.78542442361</v>
      </c>
    </row>
    <row r="525" spans="3:16" x14ac:dyDescent="0.2">
      <c r="C525" s="145"/>
      <c r="D525" s="164" t="s">
        <v>583</v>
      </c>
      <c r="E525" s="137">
        <v>44348</v>
      </c>
      <c r="F525" s="172" t="str">
        <f t="shared" si="25"/>
        <v>2020-21</v>
      </c>
      <c r="H525" s="173" t="s">
        <v>190</v>
      </c>
      <c r="I525" s="174">
        <v>25184.239534746859</v>
      </c>
      <c r="J525" s="168">
        <f>IF(E525&lt;DATE(2016,1,1),IF(OR(M525="metres",M525="pipe"),INDEX('Scheme cost allocation'!$D$21:$D$42,MATCH(IF(MONTH(E525)&lt;7,YEAR(E525),YEAR(E525)+1),'Scheme cost allocation'!$C$21:$C$42,0))*'Scheme cost allocation'!$J$21,'Scheme cost allocation'!$J$21),'Scheme cost allocation'!$J$21)</f>
        <v>0.90850599752846017</v>
      </c>
      <c r="K525" s="47"/>
      <c r="L525" s="169">
        <v>1</v>
      </c>
      <c r="M525" s="175" t="s">
        <v>558</v>
      </c>
      <c r="N525" s="169">
        <v>52268.28277627498</v>
      </c>
      <c r="O525" s="143">
        <f t="shared" si="23"/>
        <v>52268.28277627498</v>
      </c>
      <c r="P525" s="144">
        <f t="shared" si="24"/>
        <v>47486.048382759334</v>
      </c>
    </row>
    <row r="526" spans="3:16" x14ac:dyDescent="0.2">
      <c r="C526" s="145"/>
      <c r="D526" s="164" t="s">
        <v>584</v>
      </c>
      <c r="E526" s="137">
        <v>44378</v>
      </c>
      <c r="F526" s="172" t="str">
        <f t="shared" si="25"/>
        <v>2021-22</v>
      </c>
      <c r="H526" s="173" t="s">
        <v>190</v>
      </c>
      <c r="I526" s="174">
        <v>25184.239534746859</v>
      </c>
      <c r="J526" s="168">
        <f>IF(E526&lt;DATE(2016,1,1),IF(OR(M526="metres",M526="pipe"),INDEX('Scheme cost allocation'!$D$21:$D$42,MATCH(IF(MONTH(E526)&lt;7,YEAR(E526),YEAR(E526)+1),'Scheme cost allocation'!$C$21:$C$42,0))*'Scheme cost allocation'!$J$21,'Scheme cost allocation'!$J$21),'Scheme cost allocation'!$J$21)</f>
        <v>0.90850599752846017</v>
      </c>
      <c r="K526" s="47"/>
      <c r="L526" s="169">
        <v>1</v>
      </c>
      <c r="M526" s="175" t="s">
        <v>558</v>
      </c>
      <c r="N526" s="169">
        <v>5082.9698456816323</v>
      </c>
      <c r="O526" s="143">
        <f t="shared" si="23"/>
        <v>5082.9698456816323</v>
      </c>
      <c r="P526" s="144">
        <f t="shared" si="24"/>
        <v>4617.9085900580749</v>
      </c>
    </row>
    <row r="527" spans="3:16" x14ac:dyDescent="0.2">
      <c r="C527" s="145"/>
      <c r="D527" s="164" t="s">
        <v>585</v>
      </c>
      <c r="E527" s="137">
        <v>44539</v>
      </c>
      <c r="F527" s="172" t="str">
        <f t="shared" si="25"/>
        <v>2021-22</v>
      </c>
      <c r="H527" s="173" t="s">
        <v>190</v>
      </c>
      <c r="I527" s="174">
        <v>25184.239534746859</v>
      </c>
      <c r="J527" s="168">
        <f>IF(E527&lt;DATE(2016,1,1),IF(OR(M527="metres",M527="pipe"),INDEX('Scheme cost allocation'!$D$21:$D$42,MATCH(IF(MONTH(E527)&lt;7,YEAR(E527),YEAR(E527)+1),'Scheme cost allocation'!$C$21:$C$42,0))*'Scheme cost allocation'!$J$21,'Scheme cost allocation'!$J$21),'Scheme cost allocation'!$J$21)</f>
        <v>0.90850599752846017</v>
      </c>
      <c r="K527" s="47"/>
      <c r="L527" s="169">
        <v>1</v>
      </c>
      <c r="M527" s="175" t="s">
        <v>568</v>
      </c>
      <c r="N527" s="169">
        <v>20766.549285714282</v>
      </c>
      <c r="O527" s="143">
        <f t="shared" si="23"/>
        <v>20766.549285714282</v>
      </c>
      <c r="P527" s="144">
        <f t="shared" si="24"/>
        <v>18866.534574041787</v>
      </c>
    </row>
    <row r="528" spans="3:16" x14ac:dyDescent="0.2">
      <c r="C528" s="145"/>
      <c r="D528" s="164" t="s">
        <v>586</v>
      </c>
      <c r="E528" s="137">
        <v>44560</v>
      </c>
      <c r="F528" s="172" t="str">
        <f t="shared" si="25"/>
        <v>2021-22</v>
      </c>
      <c r="H528" s="173" t="s">
        <v>190</v>
      </c>
      <c r="I528" s="174">
        <v>25184.239534746859</v>
      </c>
      <c r="J528" s="168">
        <f>IF(E528&lt;DATE(2016,1,1),IF(OR(M528="metres",M528="pipe"),INDEX('Scheme cost allocation'!$D$21:$D$42,MATCH(IF(MONTH(E528)&lt;7,YEAR(E528),YEAR(E528)+1),'Scheme cost allocation'!$C$21:$C$42,0))*'Scheme cost allocation'!$J$21,'Scheme cost allocation'!$J$21),'Scheme cost allocation'!$J$21)</f>
        <v>0.90850599752846017</v>
      </c>
      <c r="K528" s="47"/>
      <c r="L528" s="169">
        <v>8.4</v>
      </c>
      <c r="M528" s="175" t="s">
        <v>191</v>
      </c>
      <c r="N528" s="169">
        <v>1064.2977844302716</v>
      </c>
      <c r="O528" s="143">
        <f t="shared" si="23"/>
        <v>8940.1013892142819</v>
      </c>
      <c r="P528" s="144">
        <f t="shared" si="24"/>
        <v>8122.1357306136933</v>
      </c>
    </row>
    <row r="529" spans="3:19" x14ac:dyDescent="0.2">
      <c r="C529" s="145"/>
      <c r="D529" s="164" t="s">
        <v>586</v>
      </c>
      <c r="E529" s="137">
        <v>44560</v>
      </c>
      <c r="F529" s="172" t="str">
        <f t="shared" si="25"/>
        <v>2021-22</v>
      </c>
      <c r="H529" s="173" t="s">
        <v>190</v>
      </c>
      <c r="I529" s="174">
        <v>25184.239534746859</v>
      </c>
      <c r="J529" s="168">
        <f>IF(E529&lt;DATE(2016,1,1),IF(OR(M529="metres",M529="pipe"),INDEX('Scheme cost allocation'!$D$21:$D$42,MATCH(IF(MONTH(E529)&lt;7,YEAR(E529),YEAR(E529)+1),'Scheme cost allocation'!$C$21:$C$42,0))*'Scheme cost allocation'!$J$21,'Scheme cost allocation'!$J$21),'Scheme cost allocation'!$J$21)</f>
        <v>0.90850599752846017</v>
      </c>
      <c r="K529" s="47"/>
      <c r="L529" s="169">
        <v>18.3</v>
      </c>
      <c r="M529" s="175" t="s">
        <v>191</v>
      </c>
      <c r="N529" s="169">
        <v>1176.1898104020293</v>
      </c>
      <c r="O529" s="143">
        <f t="shared" si="23"/>
        <v>21524.273530357135</v>
      </c>
      <c r="P529" s="144">
        <f t="shared" si="24"/>
        <v>19554.931594772541</v>
      </c>
    </row>
    <row r="530" spans="3:19" x14ac:dyDescent="0.2">
      <c r="C530" s="145"/>
      <c r="D530" s="164" t="s">
        <v>585</v>
      </c>
      <c r="E530" s="137">
        <v>44613</v>
      </c>
      <c r="F530" s="172" t="str">
        <f t="shared" si="25"/>
        <v>2021-22</v>
      </c>
      <c r="H530" s="173" t="s">
        <v>190</v>
      </c>
      <c r="I530" s="174">
        <v>25184.239534746859</v>
      </c>
      <c r="J530" s="168">
        <f>IF(E530&lt;DATE(2016,1,1),IF(OR(M530="metres",M530="pipe"),INDEX('Scheme cost allocation'!$D$21:$D$42,MATCH(IF(MONTH(E530)&lt;7,YEAR(E530),YEAR(E530)+1),'Scheme cost allocation'!$C$21:$C$42,0))*'Scheme cost allocation'!$J$21,'Scheme cost allocation'!$J$21),'Scheme cost allocation'!$J$21)</f>
        <v>0.90850599752846017</v>
      </c>
      <c r="K530" s="47"/>
      <c r="L530" s="169">
        <v>1</v>
      </c>
      <c r="M530" s="175" t="s">
        <v>568</v>
      </c>
      <c r="N530" s="169">
        <v>65596.878180416345</v>
      </c>
      <c r="O530" s="143">
        <f t="shared" si="23"/>
        <v>65596.878180416345</v>
      </c>
      <c r="P530" s="144">
        <f t="shared" si="24"/>
        <v>59595.157246052033</v>
      </c>
    </row>
    <row r="531" spans="3:19" x14ac:dyDescent="0.2">
      <c r="C531" s="145"/>
      <c r="D531" s="164" t="s">
        <v>586</v>
      </c>
      <c r="E531" s="137">
        <v>44662</v>
      </c>
      <c r="F531" s="172" t="str">
        <f t="shared" si="25"/>
        <v>2021-22</v>
      </c>
      <c r="H531" s="173" t="s">
        <v>190</v>
      </c>
      <c r="I531" s="174">
        <v>25184.239534746859</v>
      </c>
      <c r="J531" s="168">
        <f>IF(E531&lt;DATE(2016,1,1),IF(OR(M531="metres",M531="pipe"),INDEX('Scheme cost allocation'!$D$21:$D$42,MATCH(IF(MONTH(E531)&lt;7,YEAR(E531),YEAR(E531)+1),'Scheme cost allocation'!$C$21:$C$42,0))*'Scheme cost allocation'!$J$21,'Scheme cost allocation'!$J$21),'Scheme cost allocation'!$J$21)</f>
        <v>0.90850599752846017</v>
      </c>
      <c r="K531" s="47"/>
      <c r="L531" s="169">
        <v>1</v>
      </c>
      <c r="M531" s="175" t="s">
        <v>568</v>
      </c>
      <c r="N531" s="169">
        <v>6231.4413632986607</v>
      </c>
      <c r="O531" s="143">
        <f t="shared" si="23"/>
        <v>6231.4413632986607</v>
      </c>
      <c r="P531" s="144">
        <f t="shared" si="24"/>
        <v>5661.3018518037579</v>
      </c>
    </row>
    <row r="532" spans="3:19" x14ac:dyDescent="0.2">
      <c r="C532" s="145"/>
      <c r="D532" s="164" t="s">
        <v>587</v>
      </c>
      <c r="E532" s="137">
        <v>44712</v>
      </c>
      <c r="F532" s="172" t="str">
        <f t="shared" si="25"/>
        <v>2021-22</v>
      </c>
      <c r="H532" s="173" t="s">
        <v>190</v>
      </c>
      <c r="I532" s="174">
        <v>25184.239534746859</v>
      </c>
      <c r="J532" s="168">
        <f>IF(E532&lt;DATE(2016,1,1),IF(OR(M532="metres",M532="pipe"),INDEX('Scheme cost allocation'!$D$21:$D$42,MATCH(IF(MONTH(E532)&lt;7,YEAR(E532),YEAR(E532)+1),'Scheme cost allocation'!$C$21:$C$42,0))*'Scheme cost allocation'!$J$21,'Scheme cost allocation'!$J$21),'Scheme cost allocation'!$J$21)</f>
        <v>0.90850599752846017</v>
      </c>
      <c r="K532" s="47"/>
      <c r="L532" s="169">
        <v>1</v>
      </c>
      <c r="M532" s="175" t="s">
        <v>230</v>
      </c>
      <c r="N532" s="169">
        <v>129652.83592783057</v>
      </c>
      <c r="O532" s="143">
        <f t="shared" si="23"/>
        <v>129652.83592783057</v>
      </c>
      <c r="P532" s="144">
        <f t="shared" si="24"/>
        <v>117790.3790370075</v>
      </c>
    </row>
    <row r="533" spans="3:19" x14ac:dyDescent="0.2">
      <c r="C533" s="145"/>
      <c r="D533" s="164" t="s">
        <v>586</v>
      </c>
      <c r="E533" s="137">
        <v>45266</v>
      </c>
      <c r="F533" s="172" t="str">
        <f t="shared" si="25"/>
        <v>2023-24</v>
      </c>
      <c r="H533" s="173" t="s">
        <v>190</v>
      </c>
      <c r="I533" s="174">
        <v>25184.239534746859</v>
      </c>
      <c r="J533" s="168">
        <f>IF(E533&lt;DATE(2016,1,1),IF(OR(M533="metres",M533="pipe"),INDEX('Scheme cost allocation'!$D$21:$D$42,MATCH(IF(MONTH(E533)&lt;7,YEAR(E533),YEAR(E533)+1),'Scheme cost allocation'!$C$21:$C$42,0))*'Scheme cost allocation'!$J$21,'Scheme cost allocation'!$J$21),'Scheme cost allocation'!$J$21)</f>
        <v>0.90850599752846017</v>
      </c>
      <c r="K533" s="47"/>
      <c r="L533" s="169">
        <v>17.600000000000001</v>
      </c>
      <c r="M533" s="175" t="s">
        <v>191</v>
      </c>
      <c r="N533" s="169">
        <v>1143.5555302518424</v>
      </c>
      <c r="O533" s="143">
        <f t="shared" si="23"/>
        <v>20126.577332432425</v>
      </c>
      <c r="P533" s="144">
        <f t="shared" si="24"/>
        <v>18285.116216235216</v>
      </c>
    </row>
    <row r="534" spans="3:19" x14ac:dyDescent="0.2">
      <c r="C534" s="145"/>
      <c r="D534" s="164" t="s">
        <v>588</v>
      </c>
      <c r="E534" s="137">
        <v>45491</v>
      </c>
      <c r="F534" s="172" t="str">
        <f t="shared" si="25"/>
        <v>2024-25</v>
      </c>
      <c r="H534" s="173" t="s">
        <v>190</v>
      </c>
      <c r="I534" s="174">
        <v>25184.239534746859</v>
      </c>
      <c r="J534" s="168">
        <f>IF(E534&lt;DATE(2016,1,1),IF(OR(M534="metres",M534="pipe"),INDEX('Scheme cost allocation'!$D$21:$D$42,MATCH(IF(MONTH(E534)&lt;7,YEAR(E534),YEAR(E534)+1),'Scheme cost allocation'!$C$21:$C$42,0))*'Scheme cost allocation'!$J$21,'Scheme cost allocation'!$J$21),'Scheme cost allocation'!$J$21)</f>
        <v>0.90850599752846017</v>
      </c>
      <c r="K534" s="47"/>
      <c r="L534" s="169">
        <v>1</v>
      </c>
      <c r="M534" s="175" t="s">
        <v>568</v>
      </c>
      <c r="N534" s="169">
        <v>0.95041832791151593</v>
      </c>
      <c r="O534" s="143">
        <f t="shared" ref="O534:O538" si="26">IF(N534="","-",L534*N534)</f>
        <v>0.95041832791151593</v>
      </c>
      <c r="P534" s="144">
        <f t="shared" ref="P534:P538" si="27">IF(O534="-","-",IF(OR(E534&lt;$E$15,E534&gt;$E$16),0,O534*J534))</f>
        <v>0.86346075106858289</v>
      </c>
    </row>
    <row r="535" spans="3:19" x14ac:dyDescent="0.2">
      <c r="C535" s="145"/>
      <c r="D535" s="164" t="s">
        <v>585</v>
      </c>
      <c r="E535" s="137">
        <v>45567</v>
      </c>
      <c r="F535" s="172" t="str">
        <f t="shared" si="25"/>
        <v>2024-25</v>
      </c>
      <c r="H535" s="173" t="s">
        <v>190</v>
      </c>
      <c r="I535" s="174">
        <v>25184.239534746859</v>
      </c>
      <c r="J535" s="168">
        <f>IF(E535&lt;DATE(2016,1,1),IF(OR(M535="metres",M535="pipe"),INDEX('Scheme cost allocation'!$D$21:$D$42,MATCH(IF(MONTH(E535)&lt;7,YEAR(E535),YEAR(E535)+1),'Scheme cost allocation'!$C$21:$C$42,0))*'Scheme cost allocation'!$J$21,'Scheme cost allocation'!$J$21),'Scheme cost allocation'!$J$21)</f>
        <v>0.90850599752846017</v>
      </c>
      <c r="K535" s="47"/>
      <c r="L535" s="169">
        <v>11</v>
      </c>
      <c r="M535" s="175" t="s">
        <v>191</v>
      </c>
      <c r="N535" s="169">
        <v>5154.4836799622908</v>
      </c>
      <c r="O535" s="143">
        <f t="shared" si="26"/>
        <v>56699.3204795852</v>
      </c>
      <c r="P535" s="144">
        <f t="shared" si="27"/>
        <v>51511.672711491403</v>
      </c>
    </row>
    <row r="536" spans="3:19" x14ac:dyDescent="0.2">
      <c r="C536" s="145"/>
      <c r="D536" s="164" t="s">
        <v>588</v>
      </c>
      <c r="E536" s="137">
        <v>45567</v>
      </c>
      <c r="F536" s="172" t="str">
        <f t="shared" si="25"/>
        <v>2024-25</v>
      </c>
      <c r="H536" s="173" t="s">
        <v>190</v>
      </c>
      <c r="I536" s="174">
        <v>25184.239534746859</v>
      </c>
      <c r="J536" s="168">
        <f>IF(E536&lt;DATE(2016,1,1),IF(OR(M536="metres",M536="pipe"),INDEX('Scheme cost allocation'!$D$21:$D$42,MATCH(IF(MONTH(E536)&lt;7,YEAR(E536),YEAR(E536)+1),'Scheme cost allocation'!$C$21:$C$42,0))*'Scheme cost allocation'!$J$21,'Scheme cost allocation'!$J$21),'Scheme cost allocation'!$J$21)</f>
        <v>0.90850599752846017</v>
      </c>
      <c r="K536" s="47"/>
      <c r="L536" s="169">
        <v>25.3</v>
      </c>
      <c r="M536" s="175" t="s">
        <v>191</v>
      </c>
      <c r="N536" s="169">
        <v>308.40548543850969</v>
      </c>
      <c r="O536" s="143">
        <f t="shared" si="26"/>
        <v>7802.6587815942949</v>
      </c>
      <c r="P536" s="144">
        <f t="shared" si="27"/>
        <v>7088.7622997465241</v>
      </c>
    </row>
    <row r="537" spans="3:19" x14ac:dyDescent="0.2">
      <c r="C537" s="145"/>
      <c r="D537" s="164" t="s">
        <v>585</v>
      </c>
      <c r="E537" s="137">
        <v>45726</v>
      </c>
      <c r="F537" s="172" t="str">
        <f t="shared" si="25"/>
        <v>2024-25</v>
      </c>
      <c r="H537" s="173" t="s">
        <v>190</v>
      </c>
      <c r="I537" s="174">
        <v>25184.239534746859</v>
      </c>
      <c r="J537" s="168">
        <f>IF(E537&lt;DATE(2016,1,1),IF(OR(M537="metres",M537="pipe"),INDEX('Scheme cost allocation'!$D$21:$D$42,MATCH(IF(MONTH(E537)&lt;7,YEAR(E537),YEAR(E537)+1),'Scheme cost allocation'!$C$21:$C$42,0))*'Scheme cost allocation'!$J$21,'Scheme cost allocation'!$J$21),'Scheme cost allocation'!$J$21)</f>
        <v>0.90850599752846017</v>
      </c>
      <c r="K537" s="47"/>
      <c r="L537" s="169">
        <v>1</v>
      </c>
      <c r="M537" s="175" t="s">
        <v>568</v>
      </c>
      <c r="N537" s="169">
        <v>76161.923965071139</v>
      </c>
      <c r="O537" s="143">
        <f t="shared" si="26"/>
        <v>76161.923965071139</v>
      </c>
      <c r="P537" s="144">
        <f t="shared" si="27"/>
        <v>69193.564705573692</v>
      </c>
    </row>
    <row r="538" spans="3:19" x14ac:dyDescent="0.2">
      <c r="C538" s="145"/>
      <c r="D538" s="164" t="s">
        <v>589</v>
      </c>
      <c r="E538" s="137">
        <v>45733</v>
      </c>
      <c r="F538" s="172" t="str">
        <f t="shared" si="25"/>
        <v>2024-25</v>
      </c>
      <c r="H538" s="173" t="s">
        <v>190</v>
      </c>
      <c r="I538" s="174">
        <v>25184.239534746859</v>
      </c>
      <c r="J538" s="168">
        <f>IF(E538&lt;DATE(2016,1,1),IF(OR(M538="metres",M538="pipe"),INDEX('Scheme cost allocation'!$D$21:$D$42,MATCH(IF(MONTH(E538)&lt;7,YEAR(E538),YEAR(E538)+1),'Scheme cost allocation'!$C$21:$C$42,0))*'Scheme cost allocation'!$J$21,'Scheme cost allocation'!$J$21),'Scheme cost allocation'!$J$21)</f>
        <v>0.90850599752846017</v>
      </c>
      <c r="K538" s="47"/>
      <c r="L538" s="169">
        <v>87</v>
      </c>
      <c r="M538" s="175" t="s">
        <v>191</v>
      </c>
      <c r="N538" s="169">
        <v>1182.8782413320246</v>
      </c>
      <c r="O538" s="143">
        <f t="shared" si="26"/>
        <v>102910.40699588614</v>
      </c>
      <c r="P538" s="144">
        <f t="shared" si="27"/>
        <v>93494.721963857359</v>
      </c>
    </row>
    <row r="539" spans="3:19" x14ac:dyDescent="0.2">
      <c r="C539" s="145"/>
      <c r="D539" s="164"/>
      <c r="E539" s="137"/>
      <c r="F539" s="172"/>
      <c r="H539" s="173"/>
      <c r="I539" s="174"/>
      <c r="J539" s="168"/>
      <c r="K539" s="47"/>
      <c r="L539" s="173"/>
      <c r="M539" s="177"/>
      <c r="N539" s="173"/>
      <c r="O539" s="143"/>
      <c r="P539" s="144"/>
      <c r="S539" s="39">
        <f>COUNTIF(S22:S538,0)</f>
        <v>0</v>
      </c>
    </row>
    <row r="540" spans="3:19" ht="57" x14ac:dyDescent="0.2">
      <c r="C540" s="152"/>
      <c r="D540" s="178" t="str">
        <f ca="1">"Add rows above this point as required and copy formula down.  It is important to add rows above this point as this will ensure the formula on the '"&amp;MID(CELL("filename",'MP Calculations'!$A$1),FIND("]",CELL("filename",'MP Calculations'!$A$1))+1,255)&amp;"' worksheet will incorporate the information included in the additional rows. "</f>
        <v xml:space="preserve">Add rows above this point as required and copy formula down.  It is important to add rows above this point as this will ensure the formula on the 'MP Calculations' worksheet will incorporate the information included in the additional rows. </v>
      </c>
      <c r="E540" s="179"/>
      <c r="F540" s="155" t="str">
        <f t="shared" ref="F540" si="28">IF(E540="","-",IF(OR(E540&lt;$E$15,E540&gt;$E$16),"ERROR - date outside of range",IF(MONTH(E540)&gt;=7,YEAR(E540)&amp;"-"&amp;IF(YEAR(E540)=1999,"00",IF(AND(YEAR(E540)&gt;=2000,YEAR(E540)&lt;2009),"0","")&amp;RIGHT(YEAR(E540),2)+1),RIGHT(YEAR(E540),4)-1&amp;"-"&amp;RIGHT(YEAR(E540),2))))</f>
        <v>-</v>
      </c>
      <c r="H540" s="180"/>
      <c r="I540" s="181"/>
      <c r="J540" s="182" t="str">
        <f>IFERROR(MIN('MP Calculations'!$E$29/I540,1),"-")</f>
        <v>-</v>
      </c>
      <c r="L540" s="180"/>
      <c r="M540" s="183"/>
      <c r="N540" s="180"/>
      <c r="O540" s="160" t="str">
        <f t="shared" ref="O540" si="29">IF(N540="","-",L540*N540)</f>
        <v>-</v>
      </c>
      <c r="P540" s="161" t="str">
        <f t="shared" ref="P540" si="30">IF(O540="-","-",IF(OR(E540&lt;$E$15,E540&gt;$E$16),0,O540*J540))</f>
        <v>-</v>
      </c>
    </row>
    <row r="541" spans="3:19" x14ac:dyDescent="0.2">
      <c r="D541" s="184"/>
    </row>
  </sheetData>
  <sheetProtection algorithmName="SHA-512" hashValue="lgQe2ERimW3aXCMYa3dkP8kPIIL3G1X4iwaVI+IdTD7o6JS0J0vhMS5OUVUlerzhZmdAci4wwDFVYrIT1lZd4A==" saltValue="D+SMQspNJgL4KSbgnYnfLw==" spinCount="100000" sheet="1" objects="1" scenarios="1"/>
  <conditionalFormatting sqref="F22:F540">
    <cfRule type="containsText" dxfId="6" priority="3" operator="containsText" text="ERROR">
      <formula>NOT(ISERROR(SEARCH("ERROR",F22)))</formula>
    </cfRule>
  </conditionalFormatting>
  <conditionalFormatting sqref="J22:J540">
    <cfRule type="cellIs" dxfId="5" priority="2" operator="equal">
      <formula>1</formula>
    </cfRule>
  </conditionalFormatting>
  <conditionalFormatting sqref="X22:X538">
    <cfRule type="duplicateValues" dxfId="4" priority="1"/>
  </conditionalFormatting>
  <hyperlinks>
    <hyperlink ref="E7" location="'Asset exclusions'!A1" display="'Asset exclusions'!A1" xr:uid="{00000000-0004-0000-0600-000000000000}"/>
  </hyperlinks>
  <pageMargins left="0.7" right="0.7" top="0.75" bottom="0.75" header="0.3" footer="0.3"/>
  <pageSetup paperSize="9" orientation="portrait" horizontalDpi="200" verticalDpi="200"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theme="7" tint="0.79998168889431442"/>
  </sheetPr>
  <dimension ref="C3:AN103"/>
  <sheetViews>
    <sheetView showGridLines="0" zoomScaleNormal="100" workbookViewId="0">
      <pane xSplit="3" ySplit="11" topLeftCell="D12" activePane="bottomRight" state="frozen"/>
      <selection pane="topRight" activeCell="D1" sqref="D1"/>
      <selection pane="bottomLeft" activeCell="A12" sqref="A12"/>
      <selection pane="bottomRight" activeCell="L12" sqref="L12"/>
    </sheetView>
  </sheetViews>
  <sheetFormatPr defaultRowHeight="11.4" x14ac:dyDescent="0.2"/>
  <cols>
    <col min="1" max="2" width="2.75" style="39" customWidth="1"/>
    <col min="3" max="3" width="15.75" style="39" customWidth="1"/>
    <col min="4" max="4" width="21.125" style="39" customWidth="1"/>
    <col min="5" max="5" width="2.75" style="39" customWidth="1"/>
    <col min="6" max="6" width="15.75" style="39" customWidth="1"/>
    <col min="7" max="7" width="7.75" style="39" customWidth="1"/>
    <col min="8" max="8" width="2.75" style="39" customWidth="1"/>
    <col min="9" max="9" width="15.75" style="39" customWidth="1"/>
    <col min="10" max="10" width="7.75" style="39" customWidth="1"/>
    <col min="11" max="11" width="2.75" style="39" customWidth="1"/>
    <col min="12" max="12" width="15.75" style="39" customWidth="1"/>
    <col min="13" max="13" width="7.75" style="39" customWidth="1"/>
    <col min="14" max="14" width="2.75" style="39" customWidth="1"/>
    <col min="15" max="15" width="15.75" style="39" customWidth="1"/>
    <col min="16" max="16" width="7.75" style="39" customWidth="1"/>
    <col min="17" max="17" width="2.75" style="39" customWidth="1"/>
    <col min="18" max="18" width="15.75" style="39" customWidth="1"/>
    <col min="19" max="19" width="7.75" style="39" customWidth="1"/>
    <col min="20" max="20" width="2.75" style="39" customWidth="1"/>
    <col min="21" max="21" width="15.75" style="39" customWidth="1"/>
    <col min="22" max="22" width="7.75" style="39" customWidth="1"/>
    <col min="23" max="23" width="2.75" style="39" customWidth="1"/>
    <col min="24" max="24" width="15.75" style="39" customWidth="1"/>
    <col min="25" max="25" width="7.75" style="39" customWidth="1"/>
    <col min="26" max="26" width="2.75" style="39" customWidth="1"/>
    <col min="27" max="27" width="15.75" style="39" customWidth="1"/>
    <col min="28" max="28" width="7.75" style="39" customWidth="1"/>
    <col min="29" max="29" width="2.75" style="39" customWidth="1"/>
    <col min="30" max="30" width="15.75" style="39" customWidth="1"/>
    <col min="31" max="31" width="7.75" style="39" customWidth="1"/>
    <col min="32" max="32" width="2.75" style="39" customWidth="1"/>
    <col min="33" max="33" width="15.75" style="39" customWidth="1"/>
    <col min="34" max="35" width="9" style="39"/>
    <col min="36" max="36" width="29.625" style="39" customWidth="1"/>
    <col min="37" max="37" width="23.625" style="39" customWidth="1"/>
    <col min="38" max="16384" width="9" style="39"/>
  </cols>
  <sheetData>
    <row r="3" spans="3:40" ht="21" x14ac:dyDescent="0.4">
      <c r="C3" s="54" t="s">
        <v>590</v>
      </c>
    </row>
    <row r="5" spans="3:40" x14ac:dyDescent="0.2">
      <c r="G5" s="185"/>
    </row>
    <row r="6" spans="3:40" ht="12" x14ac:dyDescent="0.25">
      <c r="C6" s="73" t="s">
        <v>591</v>
      </c>
      <c r="F6" s="186">
        <f>'General inputs'!H36</f>
        <v>0.10495897174171546</v>
      </c>
      <c r="G6" s="187" t="str">
        <f ca="1">"Input entered at "&amp;ADDRESS(ROW('General inputs'!$H$36),COLUMN('General inputs'!$H$36))&amp;" on the '"&amp;MID(CELL("filename",'General inputs'!$A$1),FIND("]",CELL("filename",'General inputs'!$A$1))+1,255)&amp;"' worksheet. "</f>
        <v xml:space="preserve">Input entered at $H$36 on the 'General inputs' worksheet. </v>
      </c>
    </row>
    <row r="8" spans="3:40" ht="24" x14ac:dyDescent="0.25">
      <c r="F8" s="188" t="s">
        <v>592</v>
      </c>
      <c r="G8" s="188"/>
      <c r="H8" s="69"/>
      <c r="I8" s="188" t="s">
        <v>593</v>
      </c>
      <c r="J8" s="188"/>
      <c r="K8" s="69"/>
      <c r="L8" s="275" t="s">
        <v>594</v>
      </c>
      <c r="M8" s="276"/>
      <c r="N8" s="69"/>
      <c r="O8" s="275"/>
      <c r="P8" s="276"/>
      <c r="Q8" s="69"/>
      <c r="R8" s="275"/>
      <c r="S8" s="276"/>
      <c r="T8" s="69"/>
      <c r="U8" s="275"/>
      <c r="V8" s="276"/>
      <c r="W8" s="69"/>
      <c r="X8" s="275"/>
      <c r="Y8" s="276"/>
      <c r="Z8" s="69"/>
      <c r="AA8" s="275"/>
      <c r="AB8" s="276"/>
      <c r="AC8" s="69"/>
      <c r="AD8" s="275"/>
      <c r="AE8" s="276"/>
      <c r="AF8" s="69"/>
      <c r="AG8" s="275"/>
      <c r="AH8" s="276"/>
    </row>
    <row r="9" spans="3:40" ht="12" x14ac:dyDescent="0.25">
      <c r="C9" s="73" t="s">
        <v>595</v>
      </c>
      <c r="F9" s="97" t="s">
        <v>596</v>
      </c>
      <c r="G9" s="125">
        <f>F6</f>
        <v>0.10495897174171546</v>
      </c>
      <c r="H9" s="47"/>
      <c r="I9" s="97" t="s">
        <v>597</v>
      </c>
      <c r="J9" s="125">
        <f>F6</f>
        <v>0.10495897174171546</v>
      </c>
      <c r="K9" s="47"/>
      <c r="L9" s="189" t="s">
        <v>597</v>
      </c>
      <c r="M9" s="190">
        <f>J9</f>
        <v>0.10495897174171546</v>
      </c>
      <c r="N9" s="47"/>
      <c r="O9" s="189"/>
      <c r="P9" s="191"/>
      <c r="Q9" s="47"/>
      <c r="R9" s="189"/>
      <c r="S9" s="191"/>
      <c r="T9" s="47"/>
      <c r="U9" s="189"/>
      <c r="V9" s="191"/>
      <c r="W9" s="47"/>
      <c r="X9" s="189"/>
      <c r="Y9" s="191"/>
      <c r="Z9" s="47"/>
      <c r="AA9" s="189"/>
      <c r="AB9" s="191"/>
      <c r="AC9" s="47"/>
      <c r="AD9" s="189"/>
      <c r="AE9" s="191"/>
      <c r="AF9" s="47"/>
      <c r="AG9" s="189"/>
      <c r="AH9" s="191"/>
    </row>
    <row r="11" spans="3:40" ht="36.6" x14ac:dyDescent="0.25">
      <c r="D11" s="192" t="s">
        <v>598</v>
      </c>
      <c r="E11" s="193"/>
      <c r="F11" s="194" t="s">
        <v>599</v>
      </c>
      <c r="G11" s="47" t="s">
        <v>92</v>
      </c>
      <c r="H11" s="47"/>
      <c r="I11" s="194" t="s">
        <v>600</v>
      </c>
      <c r="J11" s="47" t="s">
        <v>92</v>
      </c>
      <c r="K11" s="47"/>
      <c r="L11" s="194" t="s">
        <v>601</v>
      </c>
      <c r="M11" s="47" t="s">
        <v>92</v>
      </c>
      <c r="N11" s="47"/>
      <c r="O11" s="193" t="e">
        <f>"Annual take-up of "&amp;INDEX($AK$12:$AK$19,MATCH(O9,$AJ$12:$AJ$20,0))&amp;" for "&amp;O8</f>
        <v>#N/A</v>
      </c>
      <c r="P11" s="47" t="s">
        <v>92</v>
      </c>
      <c r="Q11" s="47"/>
      <c r="R11" s="193" t="e">
        <f>"Annual take-up of "&amp;INDEX($AK$12:$AK$19,MATCH(R9,$AJ$12:$AJ$20,0))&amp;" for "&amp;R8</f>
        <v>#N/A</v>
      </c>
      <c r="S11" s="47" t="s">
        <v>92</v>
      </c>
      <c r="T11" s="47"/>
      <c r="U11" s="193" t="e">
        <f>"Annual take-up of "&amp;INDEX($AK$12:$AK$19,MATCH(U9,$AJ$12:$AJ$20,0))&amp;" for "&amp;U8</f>
        <v>#N/A</v>
      </c>
      <c r="V11" s="47" t="s">
        <v>92</v>
      </c>
      <c r="W11" s="47"/>
      <c r="X11" s="193" t="e">
        <f>"Annual take-up of "&amp;INDEX($AK$12:$AK$19,MATCH(X9,$AJ$12:$AJ$20,0))&amp;" for "&amp;X8</f>
        <v>#N/A</v>
      </c>
      <c r="Y11" s="47" t="s">
        <v>92</v>
      </c>
      <c r="Z11" s="47"/>
      <c r="AA11" s="193" t="e">
        <f>"Annual take-up of "&amp;INDEX($AK$12:$AK$19,MATCH(AA9,$AJ$12:$AJ$20,0))&amp;" for "&amp;AA8</f>
        <v>#N/A</v>
      </c>
      <c r="AB11" s="47" t="s">
        <v>92</v>
      </c>
      <c r="AC11" s="47"/>
      <c r="AD11" s="193" t="e">
        <f>"Annual take-up of "&amp;INDEX($AK$12:$AK$19,MATCH(AD9,$AJ$12:$AJ$20,0))&amp;" for "&amp;AD8</f>
        <v>#N/A</v>
      </c>
      <c r="AE11" s="47" t="s">
        <v>92</v>
      </c>
      <c r="AF11" s="47"/>
      <c r="AG11" s="193" t="e">
        <f>"Annual take-up of "&amp;INDEX($AK$12:$AK$19,MATCH(AG9,$AJ$12:$AJ$20,0))&amp;" for "&amp;AG8</f>
        <v>#N/A</v>
      </c>
      <c r="AH11" s="47" t="s">
        <v>92</v>
      </c>
      <c r="AJ11" s="195" t="s">
        <v>602</v>
      </c>
      <c r="AK11" s="52"/>
      <c r="AM11" s="196"/>
      <c r="AN11" s="52"/>
    </row>
    <row r="12" spans="3:40" ht="12" customHeight="1" x14ac:dyDescent="0.2">
      <c r="C12" s="52" t="str">
        <f>'MP Calculations'!D39</f>
        <v>1995-96</v>
      </c>
      <c r="D12" s="99">
        <f>SUM(G12,J12, M12)</f>
        <v>55.820773610641325</v>
      </c>
      <c r="F12" s="197">
        <v>55713.349999999991</v>
      </c>
      <c r="G12" s="112">
        <f>(F12/10000)/$F$6</f>
        <v>53.081074514621008</v>
      </c>
      <c r="I12" s="198">
        <v>1539.67</v>
      </c>
      <c r="J12" s="199">
        <f>(I12/10000)/$J$9</f>
        <v>1.4669255752512915</v>
      </c>
      <c r="L12" s="198">
        <v>1335.89</v>
      </c>
      <c r="M12" s="61">
        <f>(L12/10000)/$F$6</f>
        <v>1.2727735207690272</v>
      </c>
      <c r="O12" s="198"/>
      <c r="P12" s="110">
        <f t="shared" ref="P12:P43" si="0">O12*$P$9/$F$6</f>
        <v>0</v>
      </c>
      <c r="R12" s="198"/>
      <c r="S12" s="110">
        <f t="shared" ref="S12:S43" si="1">R12*$S$9/$F$6</f>
        <v>0</v>
      </c>
      <c r="U12" s="198">
        <v>0</v>
      </c>
      <c r="V12" s="110">
        <f t="shared" ref="V12:V43" si="2">U12*$V$9/$F$6</f>
        <v>0</v>
      </c>
      <c r="X12" s="198"/>
      <c r="Y12" s="110">
        <f t="shared" ref="Y12:Y43" si="3">X12*$Y$9/$F$6</f>
        <v>0</v>
      </c>
      <c r="AA12" s="198"/>
      <c r="AB12" s="110">
        <f t="shared" ref="AB12:AB43" si="4">AA12*$AB$9/$F$6</f>
        <v>0</v>
      </c>
      <c r="AD12" s="198"/>
      <c r="AE12" s="110">
        <f t="shared" ref="AE12:AE43" si="5">AD12*$AE$9/$F$6</f>
        <v>0</v>
      </c>
      <c r="AG12" s="198"/>
      <c r="AH12" s="110">
        <f t="shared" ref="AH12:AH43" si="6">AG12*$AH$9/$F$6</f>
        <v>0</v>
      </c>
      <c r="AI12" s="11">
        <v>1</v>
      </c>
      <c r="AJ12" s="200" t="s">
        <v>597</v>
      </c>
      <c r="AK12" s="200" t="s">
        <v>603</v>
      </c>
    </row>
    <row r="13" spans="3:40" x14ac:dyDescent="0.2">
      <c r="C13" s="52" t="str">
        <f>'MP Calculations'!D40</f>
        <v>1996-97</v>
      </c>
      <c r="D13" s="99">
        <f t="shared" ref="D13:D71" si="7">SUM(G13,J13, M13)</f>
        <v>258.40324604876645</v>
      </c>
      <c r="F13" s="197">
        <v>254200.48000000027</v>
      </c>
      <c r="G13" s="112">
        <f t="shared" ref="G13:G76" si="8">(F13/10000)/$F$6</f>
        <v>242.19032997535496</v>
      </c>
      <c r="I13" s="201">
        <v>3437.68</v>
      </c>
      <c r="J13" s="199">
        <f t="shared" ref="J13:J76" si="9">(I13/10000)/$J$9</f>
        <v>3.2752607451790703</v>
      </c>
      <c r="L13" s="201">
        <v>13579.23</v>
      </c>
      <c r="M13" s="61">
        <f t="shared" ref="M13:M76" si="10">(L13/10000)/$F$6</f>
        <v>12.93765532823241</v>
      </c>
      <c r="O13" s="102"/>
      <c r="P13" s="112">
        <f t="shared" si="0"/>
        <v>0</v>
      </c>
      <c r="R13" s="102"/>
      <c r="S13" s="112">
        <f t="shared" si="1"/>
        <v>0</v>
      </c>
      <c r="U13" s="102">
        <v>0</v>
      </c>
      <c r="V13" s="112">
        <f t="shared" si="2"/>
        <v>0</v>
      </c>
      <c r="X13" s="102"/>
      <c r="Y13" s="112">
        <f t="shared" si="3"/>
        <v>0</v>
      </c>
      <c r="AA13" s="102"/>
      <c r="AB13" s="112">
        <f t="shared" si="4"/>
        <v>0</v>
      </c>
      <c r="AD13" s="102"/>
      <c r="AE13" s="112">
        <f t="shared" si="5"/>
        <v>0</v>
      </c>
      <c r="AG13" s="102"/>
      <c r="AH13" s="112">
        <f t="shared" si="6"/>
        <v>0</v>
      </c>
      <c r="AI13" s="39">
        <f>AI12+1</f>
        <v>2</v>
      </c>
      <c r="AJ13" s="202"/>
      <c r="AK13" s="202"/>
    </row>
    <row r="14" spans="3:40" x14ac:dyDescent="0.2">
      <c r="C14" s="52" t="str">
        <f>'MP Calculations'!D41</f>
        <v>1997-98</v>
      </c>
      <c r="D14" s="99">
        <f t="shared" si="7"/>
        <v>496.43132202381435</v>
      </c>
      <c r="F14" s="197">
        <v>475406.50099999981</v>
      </c>
      <c r="G14" s="112">
        <f t="shared" si="8"/>
        <v>452.94508236026445</v>
      </c>
      <c r="I14" s="201">
        <v>9965.08</v>
      </c>
      <c r="J14" s="199">
        <f t="shared" si="9"/>
        <v>9.4942622194529598</v>
      </c>
      <c r="L14" s="201">
        <v>35677.630000000005</v>
      </c>
      <c r="M14" s="61">
        <f t="shared" si="10"/>
        <v>33.991977444096946</v>
      </c>
      <c r="O14" s="102"/>
      <c r="P14" s="112">
        <f t="shared" si="0"/>
        <v>0</v>
      </c>
      <c r="R14" s="102"/>
      <c r="S14" s="112">
        <f t="shared" si="1"/>
        <v>0</v>
      </c>
      <c r="U14" s="102">
        <v>0</v>
      </c>
      <c r="V14" s="112">
        <f t="shared" si="2"/>
        <v>0</v>
      </c>
      <c r="X14" s="102"/>
      <c r="Y14" s="112">
        <f t="shared" si="3"/>
        <v>0</v>
      </c>
      <c r="AA14" s="102"/>
      <c r="AB14" s="112">
        <f t="shared" si="4"/>
        <v>0</v>
      </c>
      <c r="AD14" s="102"/>
      <c r="AE14" s="112">
        <f t="shared" si="5"/>
        <v>0</v>
      </c>
      <c r="AG14" s="102"/>
      <c r="AH14" s="112">
        <f t="shared" si="6"/>
        <v>0</v>
      </c>
      <c r="AI14" s="39">
        <f t="shared" ref="AI14:AI18" si="11">AI13+1</f>
        <v>3</v>
      </c>
      <c r="AJ14" s="202"/>
      <c r="AK14" s="202"/>
    </row>
    <row r="15" spans="3:40" x14ac:dyDescent="0.2">
      <c r="C15" s="52" t="str">
        <f>'MP Calculations'!D42</f>
        <v>1998-99</v>
      </c>
      <c r="D15" s="99">
        <f t="shared" si="7"/>
        <v>976.68553434634293</v>
      </c>
      <c r="F15" s="197">
        <v>870394.83400000085</v>
      </c>
      <c r="G15" s="112">
        <f t="shared" si="8"/>
        <v>829.27149490553393</v>
      </c>
      <c r="I15" s="201">
        <v>2446.2399999999998</v>
      </c>
      <c r="J15" s="199">
        <f t="shared" si="9"/>
        <v>2.3306630766350702</v>
      </c>
      <c r="L15" s="201">
        <v>152278.01999999999</v>
      </c>
      <c r="M15" s="61">
        <f t="shared" si="10"/>
        <v>145.08337636417392</v>
      </c>
      <c r="O15" s="102"/>
      <c r="P15" s="112">
        <f t="shared" si="0"/>
        <v>0</v>
      </c>
      <c r="R15" s="102"/>
      <c r="S15" s="112">
        <f t="shared" si="1"/>
        <v>0</v>
      </c>
      <c r="U15" s="102">
        <v>0</v>
      </c>
      <c r="V15" s="112">
        <f t="shared" si="2"/>
        <v>0</v>
      </c>
      <c r="X15" s="102"/>
      <c r="Y15" s="112">
        <f t="shared" si="3"/>
        <v>0</v>
      </c>
      <c r="AA15" s="102"/>
      <c r="AB15" s="112">
        <f t="shared" si="4"/>
        <v>0</v>
      </c>
      <c r="AD15" s="102"/>
      <c r="AE15" s="112">
        <f t="shared" si="5"/>
        <v>0</v>
      </c>
      <c r="AG15" s="102"/>
      <c r="AH15" s="112">
        <f t="shared" si="6"/>
        <v>0</v>
      </c>
      <c r="AI15" s="39">
        <f t="shared" si="11"/>
        <v>4</v>
      </c>
      <c r="AJ15" s="202"/>
      <c r="AK15" s="202"/>
      <c r="AL15" s="203" t="str">
        <f>"Provide plural notation for the units of measure entered at "&amp;ADDRESS(ROW($AJ$12),COLUMN($AJ$12))&amp;" to "&amp;ADDRESS(ROW($AJ$18),COLUMN($AJ$18))&amp;"."</f>
        <v>Provide plural notation for the units of measure entered at $AJ$12 to $AJ$18.</v>
      </c>
    </row>
    <row r="16" spans="3:40" x14ac:dyDescent="0.2">
      <c r="C16" s="52" t="str">
        <f>'MP Calculations'!D43</f>
        <v>1999-00</v>
      </c>
      <c r="D16" s="99">
        <f t="shared" si="7"/>
        <v>1189.7254815651934</v>
      </c>
      <c r="F16" s="197">
        <v>1057426.8219999995</v>
      </c>
      <c r="G16" s="112">
        <f t="shared" si="8"/>
        <v>1007.4668267541059</v>
      </c>
      <c r="I16" s="201">
        <v>16941.25</v>
      </c>
      <c r="J16" s="199">
        <f t="shared" si="9"/>
        <v>16.140830763557087</v>
      </c>
      <c r="L16" s="201">
        <v>174355.56</v>
      </c>
      <c r="M16" s="61">
        <f t="shared" si="10"/>
        <v>166.11782404753035</v>
      </c>
      <c r="O16" s="102"/>
      <c r="P16" s="112">
        <f t="shared" si="0"/>
        <v>0</v>
      </c>
      <c r="R16" s="102"/>
      <c r="S16" s="112">
        <f t="shared" si="1"/>
        <v>0</v>
      </c>
      <c r="U16" s="102">
        <v>0</v>
      </c>
      <c r="V16" s="112">
        <f t="shared" si="2"/>
        <v>0</v>
      </c>
      <c r="X16" s="102"/>
      <c r="Y16" s="112">
        <f t="shared" si="3"/>
        <v>0</v>
      </c>
      <c r="AA16" s="102"/>
      <c r="AB16" s="112">
        <f t="shared" si="4"/>
        <v>0</v>
      </c>
      <c r="AD16" s="102"/>
      <c r="AE16" s="112">
        <f t="shared" si="5"/>
        <v>0</v>
      </c>
      <c r="AG16" s="102"/>
      <c r="AH16" s="112">
        <f t="shared" si="6"/>
        <v>0</v>
      </c>
      <c r="AI16" s="39">
        <f t="shared" si="11"/>
        <v>5</v>
      </c>
      <c r="AJ16" s="204"/>
      <c r="AK16" s="204"/>
      <c r="AL16" s="203" t="s">
        <v>604</v>
      </c>
    </row>
    <row r="17" spans="3:37" x14ac:dyDescent="0.2">
      <c r="C17" s="52" t="str">
        <f>'MP Calculations'!D44</f>
        <v>2000-01</v>
      </c>
      <c r="D17" s="99">
        <f t="shared" si="7"/>
        <v>1076.3470175565712</v>
      </c>
      <c r="F17" s="197">
        <v>1076829.4119999988</v>
      </c>
      <c r="G17" s="112">
        <f t="shared" si="8"/>
        <v>1025.9527071681648</v>
      </c>
      <c r="I17" s="201">
        <v>29611.960000000006</v>
      </c>
      <c r="J17" s="199">
        <f t="shared" si="9"/>
        <v>28.212890721595045</v>
      </c>
      <c r="L17" s="201">
        <v>23281.39</v>
      </c>
      <c r="M17" s="61">
        <f t="shared" si="10"/>
        <v>22.1814196668115</v>
      </c>
      <c r="O17" s="102"/>
      <c r="P17" s="112">
        <f t="shared" si="0"/>
        <v>0</v>
      </c>
      <c r="R17" s="102"/>
      <c r="S17" s="112">
        <f t="shared" si="1"/>
        <v>0</v>
      </c>
      <c r="U17" s="102">
        <v>0</v>
      </c>
      <c r="V17" s="112">
        <f t="shared" si="2"/>
        <v>0</v>
      </c>
      <c r="X17" s="102"/>
      <c r="Y17" s="112">
        <f t="shared" si="3"/>
        <v>0</v>
      </c>
      <c r="AA17" s="102"/>
      <c r="AB17" s="112">
        <f t="shared" si="4"/>
        <v>0</v>
      </c>
      <c r="AD17" s="102"/>
      <c r="AE17" s="112">
        <f t="shared" si="5"/>
        <v>0</v>
      </c>
      <c r="AG17" s="102"/>
      <c r="AH17" s="112">
        <f t="shared" si="6"/>
        <v>0</v>
      </c>
      <c r="AI17" s="39">
        <f t="shared" si="11"/>
        <v>6</v>
      </c>
      <c r="AJ17" s="202"/>
      <c r="AK17" s="202"/>
    </row>
    <row r="18" spans="3:37" x14ac:dyDescent="0.2">
      <c r="C18" s="52" t="str">
        <f>'MP Calculations'!D45</f>
        <v>2001-02</v>
      </c>
      <c r="D18" s="99">
        <f t="shared" si="7"/>
        <v>1326.4966928469316</v>
      </c>
      <c r="F18" s="197">
        <v>1320855.3290000013</v>
      </c>
      <c r="G18" s="112">
        <f t="shared" si="8"/>
        <v>1258.4491893178802</v>
      </c>
      <c r="I18" s="201">
        <v>25628.77</v>
      </c>
      <c r="J18" s="199">
        <f t="shared" si="9"/>
        <v>24.417893558511263</v>
      </c>
      <c r="L18" s="201">
        <v>45793.19</v>
      </c>
      <c r="M18" s="61">
        <f t="shared" si="10"/>
        <v>43.629609970540237</v>
      </c>
      <c r="O18" s="102"/>
      <c r="P18" s="112">
        <f t="shared" si="0"/>
        <v>0</v>
      </c>
      <c r="R18" s="102"/>
      <c r="S18" s="112">
        <f t="shared" si="1"/>
        <v>0</v>
      </c>
      <c r="U18" s="102">
        <v>0</v>
      </c>
      <c r="V18" s="112">
        <f t="shared" si="2"/>
        <v>0</v>
      </c>
      <c r="X18" s="102"/>
      <c r="Y18" s="112">
        <f t="shared" si="3"/>
        <v>0</v>
      </c>
      <c r="AA18" s="102"/>
      <c r="AB18" s="112">
        <f t="shared" si="4"/>
        <v>0</v>
      </c>
      <c r="AD18" s="102"/>
      <c r="AE18" s="112">
        <f t="shared" si="5"/>
        <v>0</v>
      </c>
      <c r="AG18" s="102"/>
      <c r="AH18" s="112">
        <f t="shared" si="6"/>
        <v>0</v>
      </c>
      <c r="AI18" s="39">
        <f t="shared" si="11"/>
        <v>7</v>
      </c>
      <c r="AJ18" s="202"/>
      <c r="AK18" s="202"/>
    </row>
    <row r="19" spans="3:37" x14ac:dyDescent="0.2">
      <c r="C19" s="52" t="str">
        <f>'MP Calculations'!D46</f>
        <v>2002-03</v>
      </c>
      <c r="D19" s="99">
        <f t="shared" si="7"/>
        <v>1587.5722954874736</v>
      </c>
      <c r="F19" s="197">
        <v>1347887.587000001</v>
      </c>
      <c r="G19" s="112">
        <f t="shared" si="8"/>
        <v>1284.2042606104242</v>
      </c>
      <c r="I19" s="201">
        <v>19653.320000000003</v>
      </c>
      <c r="J19" s="199">
        <f t="shared" si="9"/>
        <v>18.724764232983507</v>
      </c>
      <c r="L19" s="201">
        <v>298758.65000000002</v>
      </c>
      <c r="M19" s="61">
        <f t="shared" si="10"/>
        <v>284.64327064406609</v>
      </c>
      <c r="O19" s="102"/>
      <c r="P19" s="112">
        <f t="shared" si="0"/>
        <v>0</v>
      </c>
      <c r="R19" s="102"/>
      <c r="S19" s="112">
        <f t="shared" si="1"/>
        <v>0</v>
      </c>
      <c r="U19" s="102">
        <v>0</v>
      </c>
      <c r="V19" s="112">
        <f t="shared" si="2"/>
        <v>0</v>
      </c>
      <c r="X19" s="102"/>
      <c r="Y19" s="112">
        <f t="shared" si="3"/>
        <v>0</v>
      </c>
      <c r="AA19" s="102"/>
      <c r="AB19" s="112">
        <f t="shared" si="4"/>
        <v>0</v>
      </c>
      <c r="AD19" s="102"/>
      <c r="AE19" s="112">
        <f t="shared" si="5"/>
        <v>0</v>
      </c>
      <c r="AG19" s="102"/>
      <c r="AH19" s="112">
        <f t="shared" si="6"/>
        <v>0</v>
      </c>
      <c r="AJ19" s="205" t="str">
        <f>"add alternatives at "&amp;ADDRESS(ROW(AJ18),COLUMN(AJ18))&amp;":"&amp;ADDRESS(ROW(AJ23),COLUMN(AJ23))</f>
        <v>add alternatives at $AJ$18:$AJ$23</v>
      </c>
      <c r="AK19" s="206"/>
    </row>
    <row r="20" spans="3:37" x14ac:dyDescent="0.2">
      <c r="C20" s="52" t="str">
        <f>'MP Calculations'!D47</f>
        <v>2003-04</v>
      </c>
      <c r="D20" s="99">
        <f t="shared" si="7"/>
        <v>1576.877915756294</v>
      </c>
      <c r="F20" s="197">
        <v>770868.26600000029</v>
      </c>
      <c r="G20" s="112">
        <f t="shared" si="8"/>
        <v>734.4472351510492</v>
      </c>
      <c r="I20" s="201">
        <v>36176.04</v>
      </c>
      <c r="J20" s="199">
        <f t="shared" si="9"/>
        <v>34.46683918457444</v>
      </c>
      <c r="L20" s="201">
        <v>848030.54</v>
      </c>
      <c r="M20" s="61">
        <f t="shared" si="10"/>
        <v>807.96384142067029</v>
      </c>
      <c r="O20" s="102"/>
      <c r="P20" s="112">
        <f t="shared" si="0"/>
        <v>0</v>
      </c>
      <c r="R20" s="102"/>
      <c r="S20" s="112">
        <f t="shared" si="1"/>
        <v>0</v>
      </c>
      <c r="U20" s="102">
        <v>0</v>
      </c>
      <c r="V20" s="112">
        <f t="shared" si="2"/>
        <v>0</v>
      </c>
      <c r="X20" s="102"/>
      <c r="Y20" s="112">
        <f t="shared" si="3"/>
        <v>0</v>
      </c>
      <c r="AA20" s="102"/>
      <c r="AB20" s="112">
        <f t="shared" si="4"/>
        <v>0</v>
      </c>
      <c r="AD20" s="102"/>
      <c r="AE20" s="112">
        <f t="shared" si="5"/>
        <v>0</v>
      </c>
      <c r="AG20" s="102"/>
      <c r="AH20" s="112">
        <f t="shared" si="6"/>
        <v>0</v>
      </c>
    </row>
    <row r="21" spans="3:37" x14ac:dyDescent="0.2">
      <c r="C21" s="52" t="str">
        <f>'MP Calculations'!D48</f>
        <v>2004-05</v>
      </c>
      <c r="D21" s="99">
        <f t="shared" si="7"/>
        <v>449.01021149456767</v>
      </c>
      <c r="F21" s="197">
        <v>386280.05100000009</v>
      </c>
      <c r="G21" s="112">
        <f t="shared" si="8"/>
        <v>368.02956868762357</v>
      </c>
      <c r="I21" s="201">
        <v>21269.809999999998</v>
      </c>
      <c r="J21" s="199">
        <f t="shared" si="9"/>
        <v>20.264880311843232</v>
      </c>
      <c r="L21" s="201">
        <v>63726.64</v>
      </c>
      <c r="M21" s="61">
        <f t="shared" si="10"/>
        <v>60.715762495100876</v>
      </c>
      <c r="O21" s="102"/>
      <c r="P21" s="112">
        <f t="shared" si="0"/>
        <v>0</v>
      </c>
      <c r="R21" s="102"/>
      <c r="S21" s="112">
        <f t="shared" si="1"/>
        <v>0</v>
      </c>
      <c r="U21" s="102">
        <v>0</v>
      </c>
      <c r="V21" s="112">
        <f t="shared" si="2"/>
        <v>0</v>
      </c>
      <c r="X21" s="102"/>
      <c r="Y21" s="112">
        <f t="shared" si="3"/>
        <v>0</v>
      </c>
      <c r="AA21" s="102"/>
      <c r="AB21" s="112">
        <f t="shared" si="4"/>
        <v>0</v>
      </c>
      <c r="AD21" s="102"/>
      <c r="AE21" s="112">
        <f t="shared" si="5"/>
        <v>0</v>
      </c>
      <c r="AG21" s="102"/>
      <c r="AH21" s="112">
        <f t="shared" si="6"/>
        <v>0</v>
      </c>
    </row>
    <row r="22" spans="3:37" x14ac:dyDescent="0.2">
      <c r="C22" s="52" t="str">
        <f>'MP Calculations'!D49</f>
        <v>2005-06</v>
      </c>
      <c r="D22" s="99">
        <f t="shared" si="7"/>
        <v>864.51959746034913</v>
      </c>
      <c r="F22" s="197">
        <v>525513.69000000018</v>
      </c>
      <c r="G22" s="112">
        <f t="shared" si="8"/>
        <v>500.68486883921821</v>
      </c>
      <c r="I22" s="201">
        <v>59179.289999999994</v>
      </c>
      <c r="J22" s="199">
        <f t="shared" si="9"/>
        <v>56.383260066256398</v>
      </c>
      <c r="L22" s="201">
        <v>322697.90000000002</v>
      </c>
      <c r="M22" s="61">
        <f t="shared" si="10"/>
        <v>307.45146855487457</v>
      </c>
      <c r="O22" s="102"/>
      <c r="P22" s="112">
        <f t="shared" si="0"/>
        <v>0</v>
      </c>
      <c r="R22" s="102"/>
      <c r="S22" s="112">
        <f t="shared" si="1"/>
        <v>0</v>
      </c>
      <c r="U22" s="102">
        <v>0</v>
      </c>
      <c r="V22" s="112">
        <f t="shared" si="2"/>
        <v>0</v>
      </c>
      <c r="X22" s="102"/>
      <c r="Y22" s="112">
        <f t="shared" si="3"/>
        <v>0</v>
      </c>
      <c r="AA22" s="102"/>
      <c r="AB22" s="112">
        <f t="shared" si="4"/>
        <v>0</v>
      </c>
      <c r="AD22" s="102"/>
      <c r="AE22" s="112">
        <f t="shared" si="5"/>
        <v>0</v>
      </c>
      <c r="AG22" s="102"/>
      <c r="AH22" s="112">
        <f t="shared" si="6"/>
        <v>0</v>
      </c>
    </row>
    <row r="23" spans="3:37" x14ac:dyDescent="0.2">
      <c r="C23" s="52" t="str">
        <f>'MP Calculations'!D50</f>
        <v>2006-07</v>
      </c>
      <c r="D23" s="99">
        <f t="shared" si="7"/>
        <v>572.25129022608598</v>
      </c>
      <c r="F23" s="197">
        <v>390654.08999999973</v>
      </c>
      <c r="G23" s="112">
        <f t="shared" si="8"/>
        <v>372.19694850034057</v>
      </c>
      <c r="I23" s="201">
        <v>21855.67</v>
      </c>
      <c r="J23" s="199">
        <f t="shared" si="9"/>
        <v>20.823060322830472</v>
      </c>
      <c r="L23" s="201">
        <v>188119.31</v>
      </c>
      <c r="M23" s="61">
        <f t="shared" si="10"/>
        <v>179.23128140291493</v>
      </c>
      <c r="O23" s="102"/>
      <c r="P23" s="112">
        <f t="shared" si="0"/>
        <v>0</v>
      </c>
      <c r="R23" s="102"/>
      <c r="S23" s="112">
        <f t="shared" si="1"/>
        <v>0</v>
      </c>
      <c r="U23" s="102">
        <v>0</v>
      </c>
      <c r="V23" s="112">
        <f t="shared" si="2"/>
        <v>0</v>
      </c>
      <c r="X23" s="102"/>
      <c r="Y23" s="112">
        <f t="shared" si="3"/>
        <v>0</v>
      </c>
      <c r="AA23" s="102"/>
      <c r="AB23" s="112">
        <f t="shared" si="4"/>
        <v>0</v>
      </c>
      <c r="AD23" s="102"/>
      <c r="AE23" s="112">
        <f t="shared" si="5"/>
        <v>0</v>
      </c>
      <c r="AG23" s="102"/>
      <c r="AH23" s="112">
        <f t="shared" si="6"/>
        <v>0</v>
      </c>
    </row>
    <row r="24" spans="3:37" x14ac:dyDescent="0.2">
      <c r="C24" s="52" t="str">
        <f>'MP Calculations'!D51</f>
        <v>2007-08</v>
      </c>
      <c r="D24" s="99">
        <f t="shared" si="7"/>
        <v>685.55590633136569</v>
      </c>
      <c r="F24" s="197">
        <v>531973.74999999942</v>
      </c>
      <c r="G24" s="112">
        <f t="shared" si="8"/>
        <v>506.83971191056258</v>
      </c>
      <c r="I24" s="201">
        <v>48066.119999999988</v>
      </c>
      <c r="J24" s="199">
        <f t="shared" si="9"/>
        <v>45.795151383801453</v>
      </c>
      <c r="L24" s="201">
        <v>139512.56</v>
      </c>
      <c r="M24" s="61">
        <f t="shared" si="10"/>
        <v>132.92104303700162</v>
      </c>
      <c r="O24" s="102"/>
      <c r="P24" s="112">
        <f t="shared" si="0"/>
        <v>0</v>
      </c>
      <c r="R24" s="102"/>
      <c r="S24" s="112">
        <f t="shared" si="1"/>
        <v>0</v>
      </c>
      <c r="U24" s="102">
        <v>0</v>
      </c>
      <c r="V24" s="112">
        <f t="shared" si="2"/>
        <v>0</v>
      </c>
      <c r="X24" s="102"/>
      <c r="Y24" s="112">
        <f t="shared" si="3"/>
        <v>0</v>
      </c>
      <c r="AA24" s="102"/>
      <c r="AB24" s="112">
        <f t="shared" si="4"/>
        <v>0</v>
      </c>
      <c r="AD24" s="102"/>
      <c r="AE24" s="112">
        <f t="shared" si="5"/>
        <v>0</v>
      </c>
      <c r="AG24" s="102"/>
      <c r="AH24" s="112">
        <f t="shared" si="6"/>
        <v>0</v>
      </c>
    </row>
    <row r="25" spans="3:37" x14ac:dyDescent="0.2">
      <c r="C25" s="52" t="str">
        <f>'MP Calculations'!D52</f>
        <v>2008-09</v>
      </c>
      <c r="D25" s="99">
        <f t="shared" si="7"/>
        <v>706.13930157761843</v>
      </c>
      <c r="F25" s="197">
        <v>430492.36999999953</v>
      </c>
      <c r="G25" s="112">
        <f t="shared" si="8"/>
        <v>410.15299869682536</v>
      </c>
      <c r="I25" s="201">
        <v>73247</v>
      </c>
      <c r="J25" s="199">
        <f t="shared" si="9"/>
        <v>69.786316295330394</v>
      </c>
      <c r="L25" s="201">
        <v>237417.18000000002</v>
      </c>
      <c r="M25" s="61">
        <f t="shared" si="10"/>
        <v>226.19998658546274</v>
      </c>
      <c r="O25" s="102"/>
      <c r="P25" s="112">
        <f t="shared" si="0"/>
        <v>0</v>
      </c>
      <c r="R25" s="102"/>
      <c r="S25" s="112">
        <f t="shared" si="1"/>
        <v>0</v>
      </c>
      <c r="U25" s="102">
        <v>0</v>
      </c>
      <c r="V25" s="112">
        <f t="shared" si="2"/>
        <v>0</v>
      </c>
      <c r="X25" s="102"/>
      <c r="Y25" s="112">
        <f t="shared" si="3"/>
        <v>0</v>
      </c>
      <c r="AA25" s="102"/>
      <c r="AB25" s="112">
        <f t="shared" si="4"/>
        <v>0</v>
      </c>
      <c r="AD25" s="102"/>
      <c r="AE25" s="112">
        <f t="shared" si="5"/>
        <v>0</v>
      </c>
      <c r="AG25" s="102"/>
      <c r="AH25" s="112">
        <f t="shared" si="6"/>
        <v>0</v>
      </c>
    </row>
    <row r="26" spans="3:37" x14ac:dyDescent="0.2">
      <c r="C26" s="52" t="str">
        <f>'MP Calculations'!D53</f>
        <v>2009-10</v>
      </c>
      <c r="D26" s="99">
        <f t="shared" si="7"/>
        <v>757.12195995548575</v>
      </c>
      <c r="F26" s="197">
        <v>546887.4440000006</v>
      </c>
      <c r="G26" s="112">
        <f t="shared" si="8"/>
        <v>521.04878213345023</v>
      </c>
      <c r="I26" s="201">
        <v>62799.859999999993</v>
      </c>
      <c r="J26" s="199">
        <f t="shared" si="9"/>
        <v>59.832769850812547</v>
      </c>
      <c r="L26" s="201">
        <v>184980.12</v>
      </c>
      <c r="M26" s="61">
        <f t="shared" si="10"/>
        <v>176.24040797122299</v>
      </c>
      <c r="O26" s="102"/>
      <c r="P26" s="112">
        <f t="shared" si="0"/>
        <v>0</v>
      </c>
      <c r="R26" s="102"/>
      <c r="S26" s="112">
        <f t="shared" si="1"/>
        <v>0</v>
      </c>
      <c r="U26" s="102">
        <v>0</v>
      </c>
      <c r="V26" s="112">
        <f t="shared" si="2"/>
        <v>0</v>
      </c>
      <c r="X26" s="102"/>
      <c r="Y26" s="112">
        <f t="shared" si="3"/>
        <v>0</v>
      </c>
      <c r="AA26" s="102"/>
      <c r="AB26" s="112">
        <f t="shared" si="4"/>
        <v>0</v>
      </c>
      <c r="AD26" s="102"/>
      <c r="AE26" s="112">
        <f t="shared" si="5"/>
        <v>0</v>
      </c>
      <c r="AG26" s="102"/>
      <c r="AH26" s="112">
        <f t="shared" si="6"/>
        <v>0</v>
      </c>
    </row>
    <row r="27" spans="3:37" x14ac:dyDescent="0.2">
      <c r="C27" s="52" t="str">
        <f>'MP Calculations'!D54</f>
        <v>2010-11</v>
      </c>
      <c r="D27" s="99">
        <f t="shared" si="7"/>
        <v>625.68945570089863</v>
      </c>
      <c r="F27" s="197">
        <v>534505.86899999948</v>
      </c>
      <c r="G27" s="112">
        <f t="shared" si="8"/>
        <v>509.25219648237328</v>
      </c>
      <c r="I27" s="201">
        <v>23753.390000000003</v>
      </c>
      <c r="J27" s="199">
        <f t="shared" si="9"/>
        <v>22.631119194319741</v>
      </c>
      <c r="L27" s="201">
        <v>98457.959999999992</v>
      </c>
      <c r="M27" s="61">
        <f t="shared" si="10"/>
        <v>93.806140024205604</v>
      </c>
      <c r="O27" s="102"/>
      <c r="P27" s="112">
        <f t="shared" si="0"/>
        <v>0</v>
      </c>
      <c r="R27" s="102"/>
      <c r="S27" s="112">
        <f t="shared" si="1"/>
        <v>0</v>
      </c>
      <c r="U27" s="102">
        <v>0</v>
      </c>
      <c r="V27" s="112">
        <f t="shared" si="2"/>
        <v>0</v>
      </c>
      <c r="X27" s="102"/>
      <c r="Y27" s="112">
        <f t="shared" si="3"/>
        <v>0</v>
      </c>
      <c r="AA27" s="102"/>
      <c r="AB27" s="112">
        <f t="shared" si="4"/>
        <v>0</v>
      </c>
      <c r="AD27" s="102"/>
      <c r="AE27" s="112">
        <f t="shared" si="5"/>
        <v>0</v>
      </c>
      <c r="AG27" s="102"/>
      <c r="AH27" s="112">
        <f t="shared" si="6"/>
        <v>0</v>
      </c>
    </row>
    <row r="28" spans="3:37" x14ac:dyDescent="0.2">
      <c r="C28" s="52" t="str">
        <f>'MP Calculations'!D55</f>
        <v>2011-12</v>
      </c>
      <c r="D28" s="99">
        <f t="shared" si="7"/>
        <v>666.659272083838</v>
      </c>
      <c r="F28" s="197">
        <v>642944.09700000158</v>
      </c>
      <c r="G28" s="112">
        <f t="shared" si="8"/>
        <v>612.56706914218591</v>
      </c>
      <c r="I28" s="201">
        <v>15156.429999999998</v>
      </c>
      <c r="J28" s="199">
        <f t="shared" si="9"/>
        <v>14.440337732440023</v>
      </c>
      <c r="L28" s="201">
        <v>41618.19</v>
      </c>
      <c r="M28" s="61">
        <f t="shared" si="10"/>
        <v>39.651865209212069</v>
      </c>
      <c r="O28" s="102"/>
      <c r="P28" s="112">
        <f t="shared" si="0"/>
        <v>0</v>
      </c>
      <c r="R28" s="102"/>
      <c r="S28" s="112">
        <f t="shared" si="1"/>
        <v>0</v>
      </c>
      <c r="U28" s="102">
        <v>0</v>
      </c>
      <c r="V28" s="112">
        <f t="shared" si="2"/>
        <v>0</v>
      </c>
      <c r="X28" s="102"/>
      <c r="Y28" s="112">
        <f t="shared" si="3"/>
        <v>0</v>
      </c>
      <c r="AA28" s="102"/>
      <c r="AB28" s="112">
        <f t="shared" si="4"/>
        <v>0</v>
      </c>
      <c r="AD28" s="102"/>
      <c r="AE28" s="112">
        <f t="shared" si="5"/>
        <v>0</v>
      </c>
      <c r="AG28" s="102"/>
      <c r="AH28" s="112">
        <f t="shared" si="6"/>
        <v>0</v>
      </c>
    </row>
    <row r="29" spans="3:37" x14ac:dyDescent="0.2">
      <c r="C29" s="52" t="str">
        <f>'MP Calculations'!D56</f>
        <v>2012-13</v>
      </c>
      <c r="D29" s="99">
        <f t="shared" si="7"/>
        <v>795.31312964285974</v>
      </c>
      <c r="F29" s="197">
        <v>722855.17300000205</v>
      </c>
      <c r="G29" s="112">
        <f t="shared" si="8"/>
        <v>688.7026054131079</v>
      </c>
      <c r="I29" s="201">
        <v>56846.96</v>
      </c>
      <c r="J29" s="199">
        <f t="shared" si="9"/>
        <v>54.161125110762143</v>
      </c>
      <c r="L29" s="201">
        <v>55050.35</v>
      </c>
      <c r="M29" s="61">
        <f t="shared" si="10"/>
        <v>52.449399118989732</v>
      </c>
      <c r="O29" s="102"/>
      <c r="P29" s="112">
        <f t="shared" si="0"/>
        <v>0</v>
      </c>
      <c r="R29" s="102"/>
      <c r="S29" s="112">
        <f t="shared" si="1"/>
        <v>0</v>
      </c>
      <c r="U29" s="102">
        <v>0</v>
      </c>
      <c r="V29" s="112">
        <f t="shared" si="2"/>
        <v>0</v>
      </c>
      <c r="X29" s="102"/>
      <c r="Y29" s="112">
        <f t="shared" si="3"/>
        <v>0</v>
      </c>
      <c r="AA29" s="102"/>
      <c r="AB29" s="112">
        <f t="shared" si="4"/>
        <v>0</v>
      </c>
      <c r="AD29" s="102"/>
      <c r="AE29" s="112">
        <f t="shared" si="5"/>
        <v>0</v>
      </c>
      <c r="AG29" s="102"/>
      <c r="AH29" s="112">
        <f t="shared" si="6"/>
        <v>0</v>
      </c>
    </row>
    <row r="30" spans="3:37" x14ac:dyDescent="0.2">
      <c r="C30" s="52" t="str">
        <f>'MP Calculations'!D57</f>
        <v>2013-14</v>
      </c>
      <c r="D30" s="99">
        <f t="shared" si="7"/>
        <v>635.58274526698972</v>
      </c>
      <c r="F30" s="197">
        <v>553232.7039999991</v>
      </c>
      <c r="G30" s="112">
        <f t="shared" si="8"/>
        <v>527.0942491332728</v>
      </c>
      <c r="I30" s="201">
        <v>3981.41</v>
      </c>
      <c r="J30" s="199">
        <f t="shared" si="9"/>
        <v>3.7933012623232534</v>
      </c>
      <c r="L30" s="201">
        <v>109887.00000000003</v>
      </c>
      <c r="M30" s="61">
        <f t="shared" si="10"/>
        <v>104.69519487139368</v>
      </c>
      <c r="O30" s="102"/>
      <c r="P30" s="112">
        <f t="shared" si="0"/>
        <v>0</v>
      </c>
      <c r="R30" s="102"/>
      <c r="S30" s="112">
        <f t="shared" si="1"/>
        <v>0</v>
      </c>
      <c r="U30" s="102">
        <v>0</v>
      </c>
      <c r="V30" s="112">
        <f t="shared" si="2"/>
        <v>0</v>
      </c>
      <c r="X30" s="102"/>
      <c r="Y30" s="112">
        <f t="shared" si="3"/>
        <v>0</v>
      </c>
      <c r="AA30" s="102"/>
      <c r="AB30" s="112">
        <f t="shared" si="4"/>
        <v>0</v>
      </c>
      <c r="AD30" s="102"/>
      <c r="AE30" s="112">
        <f t="shared" si="5"/>
        <v>0</v>
      </c>
      <c r="AG30" s="102"/>
      <c r="AH30" s="112">
        <f t="shared" si="6"/>
        <v>0</v>
      </c>
    </row>
    <row r="31" spans="3:37" x14ac:dyDescent="0.2">
      <c r="C31" s="52" t="str">
        <f>'MP Calculations'!D58</f>
        <v>2014-15</v>
      </c>
      <c r="D31" s="99">
        <f t="shared" si="7"/>
        <v>548.94409733532598</v>
      </c>
      <c r="F31" s="197">
        <v>508737.10999999975</v>
      </c>
      <c r="G31" s="112">
        <f t="shared" si="8"/>
        <v>484.70092795107342</v>
      </c>
      <c r="I31" s="201">
        <v>23883.689999999995</v>
      </c>
      <c r="J31" s="199">
        <f t="shared" si="9"/>
        <v>22.755262941002623</v>
      </c>
      <c r="L31" s="201">
        <v>43545.279999999999</v>
      </c>
      <c r="M31" s="61">
        <f t="shared" si="10"/>
        <v>41.487906443249891</v>
      </c>
      <c r="O31" s="102"/>
      <c r="P31" s="112">
        <f t="shared" si="0"/>
        <v>0</v>
      </c>
      <c r="R31" s="102"/>
      <c r="S31" s="112">
        <f t="shared" si="1"/>
        <v>0</v>
      </c>
      <c r="U31" s="102">
        <v>0</v>
      </c>
      <c r="V31" s="112">
        <f t="shared" si="2"/>
        <v>0</v>
      </c>
      <c r="X31" s="102"/>
      <c r="Y31" s="112">
        <f t="shared" si="3"/>
        <v>0</v>
      </c>
      <c r="AA31" s="102"/>
      <c r="AB31" s="112">
        <f t="shared" si="4"/>
        <v>0</v>
      </c>
      <c r="AD31" s="102"/>
      <c r="AE31" s="112">
        <f t="shared" si="5"/>
        <v>0</v>
      </c>
      <c r="AG31" s="102"/>
      <c r="AH31" s="112">
        <f t="shared" si="6"/>
        <v>0</v>
      </c>
    </row>
    <row r="32" spans="3:37" x14ac:dyDescent="0.2">
      <c r="C32" s="52" t="str">
        <f>'MP Calculations'!D59</f>
        <v>2015-16</v>
      </c>
      <c r="D32" s="99">
        <f t="shared" si="7"/>
        <v>592.5429047937389</v>
      </c>
      <c r="F32" s="197">
        <v>521423.76000000047</v>
      </c>
      <c r="G32" s="112">
        <f t="shared" si="8"/>
        <v>496.78817479569778</v>
      </c>
      <c r="I32" s="201">
        <v>32394.170000000002</v>
      </c>
      <c r="J32" s="199">
        <f t="shared" si="9"/>
        <v>30.863650303011767</v>
      </c>
      <c r="L32" s="201">
        <v>68109.009999999995</v>
      </c>
      <c r="M32" s="61">
        <f t="shared" si="10"/>
        <v>64.891079695029418</v>
      </c>
      <c r="O32" s="102"/>
      <c r="P32" s="112">
        <f t="shared" si="0"/>
        <v>0</v>
      </c>
      <c r="R32" s="102"/>
      <c r="S32" s="112">
        <f t="shared" si="1"/>
        <v>0</v>
      </c>
      <c r="U32" s="102">
        <v>0</v>
      </c>
      <c r="V32" s="112">
        <f t="shared" si="2"/>
        <v>0</v>
      </c>
      <c r="X32" s="102"/>
      <c r="Y32" s="112">
        <f t="shared" si="3"/>
        <v>0</v>
      </c>
      <c r="AA32" s="102"/>
      <c r="AB32" s="112">
        <f t="shared" si="4"/>
        <v>0</v>
      </c>
      <c r="AD32" s="102"/>
      <c r="AE32" s="112">
        <f t="shared" si="5"/>
        <v>0</v>
      </c>
      <c r="AG32" s="102"/>
      <c r="AH32" s="112">
        <f t="shared" si="6"/>
        <v>0</v>
      </c>
    </row>
    <row r="33" spans="3:35" x14ac:dyDescent="0.2">
      <c r="C33" s="52" t="str">
        <f>'MP Calculations'!D60</f>
        <v>2016-17</v>
      </c>
      <c r="D33" s="99">
        <f t="shared" si="7"/>
        <v>652.81077989798746</v>
      </c>
      <c r="F33" s="197">
        <v>518291.31200000102</v>
      </c>
      <c r="G33" s="112">
        <f t="shared" si="8"/>
        <v>493.80372482632521</v>
      </c>
      <c r="I33" s="201">
        <v>98564.450000000026</v>
      </c>
      <c r="J33" s="199">
        <f t="shared" si="9"/>
        <v>93.907598716333496</v>
      </c>
      <c r="L33" s="201">
        <v>68327.72</v>
      </c>
      <c r="M33" s="61">
        <f t="shared" si="10"/>
        <v>65.099456355328854</v>
      </c>
      <c r="O33" s="102"/>
      <c r="P33" s="112">
        <f t="shared" si="0"/>
        <v>0</v>
      </c>
      <c r="R33" s="102"/>
      <c r="S33" s="112">
        <f t="shared" si="1"/>
        <v>0</v>
      </c>
      <c r="U33" s="102">
        <v>0</v>
      </c>
      <c r="V33" s="112">
        <f t="shared" si="2"/>
        <v>0</v>
      </c>
      <c r="X33" s="102"/>
      <c r="Y33" s="112">
        <f t="shared" si="3"/>
        <v>0</v>
      </c>
      <c r="AA33" s="102"/>
      <c r="AB33" s="112">
        <f t="shared" si="4"/>
        <v>0</v>
      </c>
      <c r="AD33" s="102"/>
      <c r="AE33" s="112">
        <f t="shared" si="5"/>
        <v>0</v>
      </c>
      <c r="AG33" s="102"/>
      <c r="AH33" s="112">
        <f t="shared" si="6"/>
        <v>0</v>
      </c>
    </row>
    <row r="34" spans="3:35" x14ac:dyDescent="0.2">
      <c r="C34" s="52" t="str">
        <f>'MP Calculations'!D61</f>
        <v>2017-18</v>
      </c>
      <c r="D34" s="99">
        <f t="shared" si="7"/>
        <v>561.09053873851792</v>
      </c>
      <c r="F34" s="197">
        <v>423434.5400000001</v>
      </c>
      <c r="G34" s="112">
        <f t="shared" si="8"/>
        <v>403.42862832344991</v>
      </c>
      <c r="I34" s="201">
        <v>48062.020000000004</v>
      </c>
      <c r="J34" s="199">
        <f t="shared" si="9"/>
        <v>45.791245095532865</v>
      </c>
      <c r="L34" s="201">
        <v>117418.3</v>
      </c>
      <c r="M34" s="61">
        <f t="shared" si="10"/>
        <v>111.87066531953516</v>
      </c>
      <c r="O34" s="102"/>
      <c r="P34" s="112">
        <f t="shared" si="0"/>
        <v>0</v>
      </c>
      <c r="R34" s="102"/>
      <c r="S34" s="112">
        <f t="shared" si="1"/>
        <v>0</v>
      </c>
      <c r="U34" s="102">
        <v>0</v>
      </c>
      <c r="V34" s="112">
        <f t="shared" si="2"/>
        <v>0</v>
      </c>
      <c r="X34" s="102"/>
      <c r="Y34" s="112">
        <f t="shared" si="3"/>
        <v>0</v>
      </c>
      <c r="AA34" s="102"/>
      <c r="AB34" s="112">
        <f t="shared" si="4"/>
        <v>0</v>
      </c>
      <c r="AD34" s="102"/>
      <c r="AE34" s="112">
        <f t="shared" si="5"/>
        <v>0</v>
      </c>
      <c r="AG34" s="102"/>
      <c r="AH34" s="112">
        <f t="shared" si="6"/>
        <v>0</v>
      </c>
    </row>
    <row r="35" spans="3:35" x14ac:dyDescent="0.2">
      <c r="C35" s="52" t="str">
        <f>'MP Calculations'!D62</f>
        <v>2018-19</v>
      </c>
      <c r="D35" s="99">
        <f t="shared" si="7"/>
        <v>426.28888467108675</v>
      </c>
      <c r="F35" s="197">
        <v>324641.21999999997</v>
      </c>
      <c r="G35" s="112">
        <f t="shared" si="8"/>
        <v>309.30297297393662</v>
      </c>
      <c r="I35" s="201">
        <v>68338.939999999988</v>
      </c>
      <c r="J35" s="199">
        <f t="shared" si="9"/>
        <v>65.11014624663953</v>
      </c>
      <c r="L35" s="201">
        <v>54448.27</v>
      </c>
      <c r="M35" s="61">
        <f t="shared" si="10"/>
        <v>51.875765450510585</v>
      </c>
      <c r="O35" s="102"/>
      <c r="P35" s="112">
        <f t="shared" si="0"/>
        <v>0</v>
      </c>
      <c r="R35" s="102"/>
      <c r="S35" s="112">
        <f t="shared" si="1"/>
        <v>0</v>
      </c>
      <c r="U35" s="102">
        <v>0</v>
      </c>
      <c r="V35" s="112">
        <f t="shared" si="2"/>
        <v>0</v>
      </c>
      <c r="X35" s="102"/>
      <c r="Y35" s="112">
        <f t="shared" si="3"/>
        <v>0</v>
      </c>
      <c r="AA35" s="102"/>
      <c r="AB35" s="112">
        <f t="shared" si="4"/>
        <v>0</v>
      </c>
      <c r="AD35" s="102"/>
      <c r="AE35" s="112">
        <f t="shared" si="5"/>
        <v>0</v>
      </c>
      <c r="AG35" s="102"/>
      <c r="AH35" s="112">
        <f t="shared" si="6"/>
        <v>0</v>
      </c>
    </row>
    <row r="36" spans="3:35" x14ac:dyDescent="0.2">
      <c r="C36" s="52" t="str">
        <f>'MP Calculations'!D63</f>
        <v>2019-20</v>
      </c>
      <c r="D36" s="99">
        <f t="shared" si="7"/>
        <v>427.43126438394302</v>
      </c>
      <c r="F36" s="197">
        <v>153162.73999999993</v>
      </c>
      <c r="G36" s="112">
        <f t="shared" si="8"/>
        <v>145.92629620734564</v>
      </c>
      <c r="I36" s="201">
        <v>122014.32999999999</v>
      </c>
      <c r="J36" s="199">
        <f t="shared" si="9"/>
        <v>116.24954777592008</v>
      </c>
      <c r="L36" s="201">
        <v>173450.39</v>
      </c>
      <c r="M36" s="61">
        <f t="shared" si="10"/>
        <v>165.25542040067731</v>
      </c>
      <c r="O36" s="102"/>
      <c r="P36" s="112">
        <f t="shared" si="0"/>
        <v>0</v>
      </c>
      <c r="R36" s="102"/>
      <c r="S36" s="112">
        <f t="shared" si="1"/>
        <v>0</v>
      </c>
      <c r="U36" s="102">
        <v>0</v>
      </c>
      <c r="V36" s="112">
        <f t="shared" si="2"/>
        <v>0</v>
      </c>
      <c r="X36" s="102"/>
      <c r="Y36" s="112">
        <f t="shared" si="3"/>
        <v>0</v>
      </c>
      <c r="AA36" s="102"/>
      <c r="AB36" s="112">
        <f t="shared" si="4"/>
        <v>0</v>
      </c>
      <c r="AD36" s="102"/>
      <c r="AE36" s="112">
        <f t="shared" si="5"/>
        <v>0</v>
      </c>
      <c r="AG36" s="102"/>
      <c r="AH36" s="112">
        <f t="shared" si="6"/>
        <v>0</v>
      </c>
    </row>
    <row r="37" spans="3:35" x14ac:dyDescent="0.2">
      <c r="C37" s="52" t="str">
        <f>'MP Calculations'!D64</f>
        <v>2020-21</v>
      </c>
      <c r="D37" s="99">
        <f t="shared" si="7"/>
        <v>323.39853694002295</v>
      </c>
      <c r="F37" s="197">
        <v>236630.4689999999</v>
      </c>
      <c r="G37" s="112">
        <f t="shared" si="8"/>
        <v>225.45044513422209</v>
      </c>
      <c r="I37" s="201">
        <v>54541.369999999995</v>
      </c>
      <c r="J37" s="199">
        <f t="shared" si="9"/>
        <v>51.964466776805104</v>
      </c>
      <c r="L37" s="201">
        <v>48263.94</v>
      </c>
      <c r="M37" s="61">
        <f t="shared" si="10"/>
        <v>45.983625028995711</v>
      </c>
      <c r="O37" s="102"/>
      <c r="P37" s="112">
        <f t="shared" si="0"/>
        <v>0</v>
      </c>
      <c r="R37" s="102"/>
      <c r="S37" s="112">
        <f t="shared" si="1"/>
        <v>0</v>
      </c>
      <c r="U37" s="102">
        <v>0</v>
      </c>
      <c r="V37" s="112">
        <f t="shared" si="2"/>
        <v>0</v>
      </c>
      <c r="X37" s="102"/>
      <c r="Y37" s="112">
        <f t="shared" si="3"/>
        <v>0</v>
      </c>
      <c r="AA37" s="102"/>
      <c r="AB37" s="112">
        <f t="shared" si="4"/>
        <v>0</v>
      </c>
      <c r="AD37" s="102"/>
      <c r="AE37" s="112">
        <f t="shared" si="5"/>
        <v>0</v>
      </c>
      <c r="AG37" s="102"/>
      <c r="AH37" s="112">
        <f t="shared" si="6"/>
        <v>0</v>
      </c>
    </row>
    <row r="38" spans="3:35" x14ac:dyDescent="0.2">
      <c r="C38" s="52" t="str">
        <f>'MP Calculations'!D65</f>
        <v>2021-22</v>
      </c>
      <c r="D38" s="99">
        <f t="shared" si="7"/>
        <v>379.56596124089333</v>
      </c>
      <c r="F38" s="197">
        <v>152769.84</v>
      </c>
      <c r="G38" s="112">
        <f t="shared" si="8"/>
        <v>145.55195946082455</v>
      </c>
      <c r="I38" s="201">
        <v>81035.789999999979</v>
      </c>
      <c r="J38" s="199">
        <f t="shared" si="9"/>
        <v>77.207111174272939</v>
      </c>
      <c r="L38" s="201">
        <v>164582.9</v>
      </c>
      <c r="M38" s="61">
        <f t="shared" si="10"/>
        <v>156.80689060579587</v>
      </c>
      <c r="O38" s="102"/>
      <c r="P38" s="112">
        <f t="shared" si="0"/>
        <v>0</v>
      </c>
      <c r="R38" s="102"/>
      <c r="S38" s="112">
        <f t="shared" si="1"/>
        <v>0</v>
      </c>
      <c r="U38" s="102">
        <v>0</v>
      </c>
      <c r="V38" s="112">
        <f t="shared" si="2"/>
        <v>0</v>
      </c>
      <c r="X38" s="102"/>
      <c r="Y38" s="112">
        <f t="shared" si="3"/>
        <v>0</v>
      </c>
      <c r="AA38" s="102"/>
      <c r="AB38" s="112">
        <f t="shared" si="4"/>
        <v>0</v>
      </c>
      <c r="AD38" s="102"/>
      <c r="AE38" s="112">
        <f t="shared" si="5"/>
        <v>0</v>
      </c>
      <c r="AG38" s="102"/>
      <c r="AH38" s="112">
        <f t="shared" si="6"/>
        <v>0</v>
      </c>
    </row>
    <row r="39" spans="3:35" x14ac:dyDescent="0.2">
      <c r="C39" s="52" t="str">
        <f>'MP Calculations'!D66</f>
        <v>2022-23</v>
      </c>
      <c r="D39" s="99">
        <f t="shared" si="7"/>
        <v>228.96268419185276</v>
      </c>
      <c r="F39" s="197">
        <v>124585.76899999997</v>
      </c>
      <c r="G39" s="112">
        <f t="shared" si="8"/>
        <v>118.69949460497995</v>
      </c>
      <c r="I39" s="201">
        <v>37863.74</v>
      </c>
      <c r="J39" s="199">
        <f t="shared" si="9"/>
        <v>36.074800821387264</v>
      </c>
      <c r="L39" s="201">
        <v>77867.37</v>
      </c>
      <c r="M39" s="61">
        <f t="shared" si="10"/>
        <v>74.188388765485556</v>
      </c>
      <c r="O39" s="102"/>
      <c r="P39" s="112">
        <f t="shared" si="0"/>
        <v>0</v>
      </c>
      <c r="R39" s="102"/>
      <c r="S39" s="112">
        <f t="shared" si="1"/>
        <v>0</v>
      </c>
      <c r="U39" s="102">
        <v>0</v>
      </c>
      <c r="V39" s="112">
        <f t="shared" si="2"/>
        <v>0</v>
      </c>
      <c r="X39" s="102"/>
      <c r="Y39" s="112">
        <f t="shared" si="3"/>
        <v>0</v>
      </c>
      <c r="AA39" s="102"/>
      <c r="AB39" s="112">
        <f t="shared" si="4"/>
        <v>0</v>
      </c>
      <c r="AD39" s="102"/>
      <c r="AE39" s="112">
        <f t="shared" si="5"/>
        <v>0</v>
      </c>
      <c r="AG39" s="102"/>
      <c r="AH39" s="112">
        <f t="shared" si="6"/>
        <v>0</v>
      </c>
    </row>
    <row r="40" spans="3:35" x14ac:dyDescent="0.2">
      <c r="C40" s="52" t="str">
        <f>'MP Calculations'!D67</f>
        <v>2023-24</v>
      </c>
      <c r="D40" s="99">
        <f t="shared" si="7"/>
        <v>305.34362206658784</v>
      </c>
      <c r="F40" s="197">
        <v>186312.32600000035</v>
      </c>
      <c r="G40" s="112">
        <f t="shared" si="8"/>
        <v>177.50967154907005</v>
      </c>
      <c r="I40" s="201">
        <v>48770.420000000006</v>
      </c>
      <c r="J40" s="199">
        <f t="shared" si="9"/>
        <v>46.466175488089718</v>
      </c>
      <c r="L40" s="201">
        <v>85402.78</v>
      </c>
      <c r="M40" s="61">
        <f t="shared" si="10"/>
        <v>81.36777502942806</v>
      </c>
      <c r="O40" s="102"/>
      <c r="P40" s="112">
        <f t="shared" si="0"/>
        <v>0</v>
      </c>
      <c r="R40" s="102"/>
      <c r="S40" s="112">
        <f t="shared" si="1"/>
        <v>0</v>
      </c>
      <c r="U40" s="102">
        <v>0</v>
      </c>
      <c r="V40" s="112">
        <f t="shared" si="2"/>
        <v>0</v>
      </c>
      <c r="X40" s="102"/>
      <c r="Y40" s="112">
        <f t="shared" si="3"/>
        <v>0</v>
      </c>
      <c r="AA40" s="102"/>
      <c r="AB40" s="112">
        <f t="shared" si="4"/>
        <v>0</v>
      </c>
      <c r="AD40" s="102"/>
      <c r="AE40" s="112">
        <f t="shared" si="5"/>
        <v>0</v>
      </c>
      <c r="AG40" s="102"/>
      <c r="AH40" s="112">
        <f t="shared" si="6"/>
        <v>0</v>
      </c>
    </row>
    <row r="41" spans="3:35" x14ac:dyDescent="0.2">
      <c r="C41" s="52" t="str">
        <f>'MP Calculations'!D68</f>
        <v>2024-25</v>
      </c>
      <c r="D41" s="99">
        <f t="shared" si="7"/>
        <v>280.61986804215064</v>
      </c>
      <c r="F41" s="197">
        <v>160595.35800000009</v>
      </c>
      <c r="G41" s="112">
        <f t="shared" si="8"/>
        <v>153.00774706062808</v>
      </c>
      <c r="I41" s="201">
        <v>84291.86</v>
      </c>
      <c r="J41" s="199">
        <f t="shared" si="9"/>
        <v>80.309342404217347</v>
      </c>
      <c r="L41" s="201">
        <v>49648.509999999995</v>
      </c>
      <c r="M41" s="61">
        <f t="shared" si="10"/>
        <v>47.30277857730519</v>
      </c>
      <c r="O41" s="102"/>
      <c r="P41" s="112">
        <f t="shared" si="0"/>
        <v>0</v>
      </c>
      <c r="R41" s="102"/>
      <c r="S41" s="112">
        <f t="shared" si="1"/>
        <v>0</v>
      </c>
      <c r="U41" s="102">
        <v>0</v>
      </c>
      <c r="V41" s="112">
        <f t="shared" si="2"/>
        <v>0</v>
      </c>
      <c r="X41" s="102"/>
      <c r="Y41" s="112">
        <f t="shared" si="3"/>
        <v>0</v>
      </c>
      <c r="AA41" s="102"/>
      <c r="AB41" s="112">
        <f t="shared" si="4"/>
        <v>0</v>
      </c>
      <c r="AD41" s="102"/>
      <c r="AE41" s="112">
        <f t="shared" si="5"/>
        <v>0</v>
      </c>
      <c r="AG41" s="102"/>
      <c r="AH41" s="112">
        <f t="shared" si="6"/>
        <v>0</v>
      </c>
    </row>
    <row r="42" spans="3:35" x14ac:dyDescent="0.2">
      <c r="C42" s="52" t="str">
        <f>'MP Calculations'!D69</f>
        <v>2025-26</v>
      </c>
      <c r="D42" s="99">
        <f t="shared" si="7"/>
        <v>191.39170603293871</v>
      </c>
      <c r="F42" s="197">
        <v>157116.36248193195</v>
      </c>
      <c r="G42" s="112">
        <f t="shared" si="8"/>
        <v>149.69312282190239</v>
      </c>
      <c r="I42" s="201">
        <v>41929.778941178476</v>
      </c>
      <c r="J42" s="199">
        <f t="shared" si="9"/>
        <v>39.948732581298408</v>
      </c>
      <c r="L42" s="201">
        <v>1836.6252279888472</v>
      </c>
      <c r="M42" s="61">
        <f t="shared" si="10"/>
        <v>1.7498506297379139</v>
      </c>
      <c r="O42" s="102"/>
      <c r="P42" s="112">
        <f t="shared" si="0"/>
        <v>0</v>
      </c>
      <c r="R42" s="102"/>
      <c r="S42" s="112">
        <f t="shared" si="1"/>
        <v>0</v>
      </c>
      <c r="U42" s="102">
        <v>0</v>
      </c>
      <c r="V42" s="112">
        <f t="shared" si="2"/>
        <v>0</v>
      </c>
      <c r="X42" s="102"/>
      <c r="Y42" s="112">
        <f t="shared" si="3"/>
        <v>0</v>
      </c>
      <c r="AA42" s="102"/>
      <c r="AB42" s="112">
        <f t="shared" si="4"/>
        <v>0</v>
      </c>
      <c r="AD42" s="102"/>
      <c r="AE42" s="112">
        <f t="shared" si="5"/>
        <v>0</v>
      </c>
      <c r="AG42" s="102"/>
      <c r="AH42" s="112">
        <f t="shared" si="6"/>
        <v>0</v>
      </c>
      <c r="AI42" s="49"/>
    </row>
    <row r="43" spans="3:35" x14ac:dyDescent="0.2">
      <c r="C43" s="52" t="str">
        <f>'MP Calculations'!D70</f>
        <v>2026-27</v>
      </c>
      <c r="D43" s="99">
        <f t="shared" si="7"/>
        <v>201.75571496233019</v>
      </c>
      <c r="F43" s="197">
        <v>136807.90848206368</v>
      </c>
      <c r="G43" s="112">
        <f t="shared" si="8"/>
        <v>130.34417755036941</v>
      </c>
      <c r="I43" s="201">
        <v>72779.681922396747</v>
      </c>
      <c r="J43" s="199">
        <f t="shared" si="9"/>
        <v>69.341077484537507</v>
      </c>
      <c r="L43" s="201">
        <v>2173.1334501477631</v>
      </c>
      <c r="M43" s="61">
        <f t="shared" si="10"/>
        <v>2.0704599274232991</v>
      </c>
      <c r="O43" s="102"/>
      <c r="P43" s="112">
        <f t="shared" si="0"/>
        <v>0</v>
      </c>
      <c r="R43" s="102"/>
      <c r="S43" s="112">
        <f t="shared" si="1"/>
        <v>0</v>
      </c>
      <c r="U43" s="102">
        <v>0</v>
      </c>
      <c r="V43" s="112">
        <f t="shared" si="2"/>
        <v>0</v>
      </c>
      <c r="X43" s="102"/>
      <c r="Y43" s="112">
        <f t="shared" si="3"/>
        <v>0</v>
      </c>
      <c r="AA43" s="102"/>
      <c r="AB43" s="112">
        <f t="shared" si="4"/>
        <v>0</v>
      </c>
      <c r="AD43" s="102"/>
      <c r="AE43" s="112">
        <f t="shared" si="5"/>
        <v>0</v>
      </c>
      <c r="AG43" s="102"/>
      <c r="AH43" s="112">
        <f t="shared" si="6"/>
        <v>0</v>
      </c>
      <c r="AI43" s="49"/>
    </row>
    <row r="44" spans="3:35" x14ac:dyDescent="0.2">
      <c r="C44" s="52" t="str">
        <f>'MP Calculations'!D71</f>
        <v>2027-28</v>
      </c>
      <c r="D44" s="99">
        <f t="shared" si="7"/>
        <v>280.49979525083478</v>
      </c>
      <c r="F44" s="197">
        <v>133727.61196530287</v>
      </c>
      <c r="G44" s="112">
        <f t="shared" si="8"/>
        <v>127.40941507542746</v>
      </c>
      <c r="I44" s="201">
        <v>157790.17547757149</v>
      </c>
      <c r="J44" s="199">
        <f t="shared" si="9"/>
        <v>150.33510033412276</v>
      </c>
      <c r="L44" s="201">
        <v>2891.9133900190218</v>
      </c>
      <c r="M44" s="61">
        <f t="shared" si="10"/>
        <v>2.7552798412845387</v>
      </c>
      <c r="O44" s="102"/>
      <c r="P44" s="112">
        <f t="shared" ref="P44:P75" si="12">O44*$P$9/$F$6</f>
        <v>0</v>
      </c>
      <c r="R44" s="102"/>
      <c r="S44" s="112">
        <f t="shared" ref="S44:S75" si="13">R44*$S$9/$F$6</f>
        <v>0</v>
      </c>
      <c r="U44" s="102">
        <v>0</v>
      </c>
      <c r="V44" s="112">
        <f t="shared" ref="V44:V75" si="14">U44*$V$9/$F$6</f>
        <v>0</v>
      </c>
      <c r="X44" s="102"/>
      <c r="Y44" s="112">
        <f t="shared" ref="Y44:Y75" si="15">X44*$Y$9/$F$6</f>
        <v>0</v>
      </c>
      <c r="AA44" s="102"/>
      <c r="AB44" s="112">
        <f t="shared" ref="AB44:AB75" si="16">AA44*$AB$9/$F$6</f>
        <v>0</v>
      </c>
      <c r="AD44" s="102"/>
      <c r="AE44" s="112">
        <f t="shared" ref="AE44:AE75" si="17">AD44*$AE$9/$F$6</f>
        <v>0</v>
      </c>
      <c r="AG44" s="102"/>
      <c r="AH44" s="112">
        <f t="shared" ref="AH44:AH75" si="18">AG44*$AH$9/$F$6</f>
        <v>0</v>
      </c>
      <c r="AI44" s="49"/>
    </row>
    <row r="45" spans="3:35" x14ac:dyDescent="0.2">
      <c r="C45" s="52" t="str">
        <f>'MP Calculations'!D72</f>
        <v>2028-29</v>
      </c>
      <c r="D45" s="99">
        <f t="shared" si="7"/>
        <v>273.05856681159366</v>
      </c>
      <c r="F45" s="197">
        <v>143155.75604182968</v>
      </c>
      <c r="G45" s="112">
        <f t="shared" si="8"/>
        <v>136.39210985613445</v>
      </c>
      <c r="I45" s="201">
        <v>134004.82149321269</v>
      </c>
      <c r="J45" s="199">
        <f t="shared" si="9"/>
        <v>127.67352735026184</v>
      </c>
      <c r="L45" s="201">
        <v>9438.8864430714857</v>
      </c>
      <c r="M45" s="61">
        <f t="shared" si="10"/>
        <v>8.9929296051973839</v>
      </c>
      <c r="O45" s="102"/>
      <c r="P45" s="112">
        <f t="shared" si="12"/>
        <v>0</v>
      </c>
      <c r="R45" s="102"/>
      <c r="S45" s="112">
        <f t="shared" si="13"/>
        <v>0</v>
      </c>
      <c r="U45" s="102">
        <v>0</v>
      </c>
      <c r="V45" s="112">
        <f t="shared" si="14"/>
        <v>0</v>
      </c>
      <c r="X45" s="102"/>
      <c r="Y45" s="112">
        <f t="shared" si="15"/>
        <v>0</v>
      </c>
      <c r="AA45" s="102"/>
      <c r="AB45" s="112">
        <f t="shared" si="16"/>
        <v>0</v>
      </c>
      <c r="AD45" s="102"/>
      <c r="AE45" s="112">
        <f t="shared" si="17"/>
        <v>0</v>
      </c>
      <c r="AG45" s="102"/>
      <c r="AH45" s="112">
        <f t="shared" si="18"/>
        <v>0</v>
      </c>
      <c r="AI45" s="49"/>
    </row>
    <row r="46" spans="3:35" x14ac:dyDescent="0.2">
      <c r="C46" s="52" t="str">
        <f>'MP Calculations'!D73</f>
        <v>2029-30</v>
      </c>
      <c r="D46" s="99">
        <f t="shared" si="7"/>
        <v>307.56402859787761</v>
      </c>
      <c r="F46" s="197">
        <v>128856.42937482402</v>
      </c>
      <c r="G46" s="112">
        <f t="shared" si="8"/>
        <v>122.76838009800225</v>
      </c>
      <c r="I46" s="201">
        <v>145870.66020207625</v>
      </c>
      <c r="J46" s="199">
        <f t="shared" si="9"/>
        <v>138.97874358090783</v>
      </c>
      <c r="L46" s="201">
        <v>48088.952286827771</v>
      </c>
      <c r="M46" s="61">
        <f t="shared" si="10"/>
        <v>45.816904918967531</v>
      </c>
      <c r="O46" s="102"/>
      <c r="P46" s="112">
        <f t="shared" si="12"/>
        <v>0</v>
      </c>
      <c r="R46" s="102"/>
      <c r="S46" s="112">
        <f t="shared" si="13"/>
        <v>0</v>
      </c>
      <c r="U46" s="102">
        <v>0</v>
      </c>
      <c r="V46" s="112">
        <f t="shared" si="14"/>
        <v>0</v>
      </c>
      <c r="X46" s="102"/>
      <c r="Y46" s="112">
        <f t="shared" si="15"/>
        <v>0</v>
      </c>
      <c r="AA46" s="102"/>
      <c r="AB46" s="112">
        <f t="shared" si="16"/>
        <v>0</v>
      </c>
      <c r="AD46" s="102"/>
      <c r="AE46" s="112">
        <f t="shared" si="17"/>
        <v>0</v>
      </c>
      <c r="AG46" s="102"/>
      <c r="AH46" s="112">
        <f t="shared" si="18"/>
        <v>0</v>
      </c>
      <c r="AI46" s="49"/>
    </row>
    <row r="47" spans="3:35" x14ac:dyDescent="0.2">
      <c r="C47" s="52" t="str">
        <f>'MP Calculations'!D74</f>
        <v>2030-31</v>
      </c>
      <c r="D47" s="99">
        <f t="shared" si="7"/>
        <v>244.62873145609697</v>
      </c>
      <c r="F47" s="197">
        <v>118848.5887497139</v>
      </c>
      <c r="G47" s="112">
        <f t="shared" si="8"/>
        <v>113.23337755459173</v>
      </c>
      <c r="I47" s="201">
        <v>101309.92684602752</v>
      </c>
      <c r="J47" s="199">
        <f t="shared" si="9"/>
        <v>96.52336066642539</v>
      </c>
      <c r="L47" s="201">
        <v>36601.285525380386</v>
      </c>
      <c r="M47" s="61">
        <f t="shared" si="10"/>
        <v>34.871993235079849</v>
      </c>
      <c r="O47" s="102"/>
      <c r="P47" s="112">
        <f t="shared" si="12"/>
        <v>0</v>
      </c>
      <c r="R47" s="102"/>
      <c r="S47" s="112">
        <f t="shared" si="13"/>
        <v>0</v>
      </c>
      <c r="U47" s="102">
        <v>0</v>
      </c>
      <c r="V47" s="112">
        <f t="shared" si="14"/>
        <v>0</v>
      </c>
      <c r="X47" s="102"/>
      <c r="Y47" s="112">
        <f t="shared" si="15"/>
        <v>0</v>
      </c>
      <c r="AA47" s="102"/>
      <c r="AB47" s="112">
        <f t="shared" si="16"/>
        <v>0</v>
      </c>
      <c r="AD47" s="102"/>
      <c r="AE47" s="112">
        <f t="shared" si="17"/>
        <v>0</v>
      </c>
      <c r="AG47" s="102"/>
      <c r="AH47" s="112">
        <f t="shared" si="18"/>
        <v>0</v>
      </c>
      <c r="AI47" s="49"/>
    </row>
    <row r="48" spans="3:35" x14ac:dyDescent="0.2">
      <c r="C48" s="52" t="str">
        <f>'MP Calculations'!D75</f>
        <v>2031-32</v>
      </c>
      <c r="D48" s="99">
        <f t="shared" si="7"/>
        <v>146.6314956418322</v>
      </c>
      <c r="F48" s="197">
        <v>71486.357738421473</v>
      </c>
      <c r="G48" s="112">
        <f t="shared" si="8"/>
        <v>68.108858682739495</v>
      </c>
      <c r="I48" s="201">
        <v>72593.511220667395</v>
      </c>
      <c r="J48" s="199">
        <f t="shared" si="9"/>
        <v>69.163702745970625</v>
      </c>
      <c r="L48" s="201">
        <v>9823.0411160765598</v>
      </c>
      <c r="M48" s="61">
        <f t="shared" si="10"/>
        <v>9.3589342131220938</v>
      </c>
      <c r="O48" s="102"/>
      <c r="P48" s="112">
        <f t="shared" si="12"/>
        <v>0</v>
      </c>
      <c r="R48" s="102"/>
      <c r="S48" s="112">
        <f t="shared" si="13"/>
        <v>0</v>
      </c>
      <c r="U48" s="102">
        <v>0</v>
      </c>
      <c r="V48" s="112">
        <f t="shared" si="14"/>
        <v>0</v>
      </c>
      <c r="X48" s="102"/>
      <c r="Y48" s="112">
        <f t="shared" si="15"/>
        <v>0</v>
      </c>
      <c r="AA48" s="102"/>
      <c r="AB48" s="112">
        <f t="shared" si="16"/>
        <v>0</v>
      </c>
      <c r="AD48" s="102"/>
      <c r="AE48" s="112">
        <f t="shared" si="17"/>
        <v>0</v>
      </c>
      <c r="AG48" s="102"/>
      <c r="AH48" s="112">
        <f t="shared" si="18"/>
        <v>0</v>
      </c>
      <c r="AI48" s="49"/>
    </row>
    <row r="49" spans="3:35" x14ac:dyDescent="0.2">
      <c r="C49" s="52" t="str">
        <f>'MP Calculations'!D76</f>
        <v>2032-33</v>
      </c>
      <c r="D49" s="99">
        <f t="shared" si="7"/>
        <v>194.40205497694043</v>
      </c>
      <c r="F49" s="197">
        <v>116739.39335775205</v>
      </c>
      <c r="G49" s="112">
        <f t="shared" si="8"/>
        <v>111.22383481902435</v>
      </c>
      <c r="I49" s="201">
        <v>77479.96347473246</v>
      </c>
      <c r="J49" s="199">
        <f t="shared" si="9"/>
        <v>73.81928594479399</v>
      </c>
      <c r="L49" s="201">
        <v>9823.0411160765598</v>
      </c>
      <c r="M49" s="61">
        <f t="shared" si="10"/>
        <v>9.3589342131220938</v>
      </c>
      <c r="O49" s="102"/>
      <c r="P49" s="112">
        <f t="shared" si="12"/>
        <v>0</v>
      </c>
      <c r="R49" s="102"/>
      <c r="S49" s="112">
        <f t="shared" si="13"/>
        <v>0</v>
      </c>
      <c r="U49" s="102">
        <v>0</v>
      </c>
      <c r="V49" s="112">
        <f t="shared" si="14"/>
        <v>0</v>
      </c>
      <c r="X49" s="102"/>
      <c r="Y49" s="112">
        <f t="shared" si="15"/>
        <v>0</v>
      </c>
      <c r="AA49" s="102"/>
      <c r="AB49" s="112">
        <f t="shared" si="16"/>
        <v>0</v>
      </c>
      <c r="AD49" s="102"/>
      <c r="AE49" s="112">
        <f t="shared" si="17"/>
        <v>0</v>
      </c>
      <c r="AG49" s="102"/>
      <c r="AH49" s="112">
        <f t="shared" si="18"/>
        <v>0</v>
      </c>
      <c r="AI49" s="49"/>
    </row>
    <row r="50" spans="3:35" x14ac:dyDescent="0.2">
      <c r="C50" s="52" t="str">
        <f>'MP Calculations'!D77</f>
        <v>2033-34</v>
      </c>
      <c r="D50" s="99">
        <f t="shared" si="7"/>
        <v>153.90474790341796</v>
      </c>
      <c r="F50" s="197">
        <v>78554.506141278835</v>
      </c>
      <c r="G50" s="112">
        <f t="shared" si="8"/>
        <v>74.843059947830739</v>
      </c>
      <c r="I50" s="201">
        <v>66737.868821315904</v>
      </c>
      <c r="J50" s="199">
        <f t="shared" si="9"/>
        <v>63.584720499687634</v>
      </c>
      <c r="L50" s="201">
        <v>16244.465898512113</v>
      </c>
      <c r="M50" s="61">
        <f t="shared" si="10"/>
        <v>15.476967455899555</v>
      </c>
      <c r="O50" s="102"/>
      <c r="P50" s="112">
        <f t="shared" si="12"/>
        <v>0</v>
      </c>
      <c r="R50" s="102"/>
      <c r="S50" s="112">
        <f t="shared" si="13"/>
        <v>0</v>
      </c>
      <c r="U50" s="102">
        <v>0</v>
      </c>
      <c r="V50" s="112">
        <f t="shared" si="14"/>
        <v>0</v>
      </c>
      <c r="X50" s="102"/>
      <c r="Y50" s="112">
        <f t="shared" si="15"/>
        <v>0</v>
      </c>
      <c r="AA50" s="102"/>
      <c r="AB50" s="112">
        <f t="shared" si="16"/>
        <v>0</v>
      </c>
      <c r="AD50" s="102"/>
      <c r="AE50" s="112">
        <f t="shared" si="17"/>
        <v>0</v>
      </c>
      <c r="AG50" s="102"/>
      <c r="AH50" s="112">
        <f t="shared" si="18"/>
        <v>0</v>
      </c>
      <c r="AI50" s="49"/>
    </row>
    <row r="51" spans="3:35" x14ac:dyDescent="0.2">
      <c r="C51" s="52" t="str">
        <f>'MP Calculations'!D78</f>
        <v>2034-35</v>
      </c>
      <c r="D51" s="99">
        <f t="shared" si="7"/>
        <v>127.72280289503543</v>
      </c>
      <c r="F51" s="197">
        <v>73401.587928973589</v>
      </c>
      <c r="G51" s="112">
        <f t="shared" si="8"/>
        <v>69.933600444944588</v>
      </c>
      <c r="I51" s="201">
        <v>53693.673604103693</v>
      </c>
      <c r="J51" s="199">
        <f t="shared" si="9"/>
        <v>51.156821292260609</v>
      </c>
      <c r="L51" s="201">
        <v>6961.2790652499007</v>
      </c>
      <c r="M51" s="61">
        <f t="shared" si="10"/>
        <v>6.6323811578302374</v>
      </c>
      <c r="O51" s="102"/>
      <c r="P51" s="112">
        <f t="shared" si="12"/>
        <v>0</v>
      </c>
      <c r="R51" s="102"/>
      <c r="S51" s="112">
        <f t="shared" si="13"/>
        <v>0</v>
      </c>
      <c r="U51" s="102">
        <v>0</v>
      </c>
      <c r="V51" s="112">
        <f t="shared" si="14"/>
        <v>0</v>
      </c>
      <c r="X51" s="102"/>
      <c r="Y51" s="112">
        <f t="shared" si="15"/>
        <v>0</v>
      </c>
      <c r="AA51" s="102"/>
      <c r="AB51" s="112">
        <f t="shared" si="16"/>
        <v>0</v>
      </c>
      <c r="AD51" s="102"/>
      <c r="AE51" s="112">
        <f t="shared" si="17"/>
        <v>0</v>
      </c>
      <c r="AG51" s="102"/>
      <c r="AH51" s="112">
        <f t="shared" si="18"/>
        <v>0</v>
      </c>
      <c r="AI51" s="49"/>
    </row>
    <row r="52" spans="3:35" x14ac:dyDescent="0.2">
      <c r="C52" s="52" t="str">
        <f>'MP Calculations'!D79</f>
        <v>2035-36</v>
      </c>
      <c r="D52" s="99">
        <f t="shared" si="7"/>
        <v>116.69622321056104</v>
      </c>
      <c r="F52" s="197">
        <v>67946.651267705238</v>
      </c>
      <c r="G52" s="112">
        <f t="shared" si="8"/>
        <v>64.73639188740276</v>
      </c>
      <c r="I52" s="201">
        <v>47634.307149380656</v>
      </c>
      <c r="J52" s="199">
        <f t="shared" si="9"/>
        <v>45.383740292921161</v>
      </c>
      <c r="L52" s="201">
        <v>6902.1975261360612</v>
      </c>
      <c r="M52" s="61">
        <f t="shared" si="10"/>
        <v>6.5760910302371176</v>
      </c>
      <c r="O52" s="102"/>
      <c r="P52" s="112">
        <f t="shared" si="12"/>
        <v>0</v>
      </c>
      <c r="R52" s="102"/>
      <c r="S52" s="112">
        <f t="shared" si="13"/>
        <v>0</v>
      </c>
      <c r="U52" s="102">
        <v>0</v>
      </c>
      <c r="V52" s="112">
        <f t="shared" si="14"/>
        <v>0</v>
      </c>
      <c r="X52" s="102"/>
      <c r="Y52" s="112">
        <f t="shared" si="15"/>
        <v>0</v>
      </c>
      <c r="AA52" s="102"/>
      <c r="AB52" s="112">
        <f t="shared" si="16"/>
        <v>0</v>
      </c>
      <c r="AD52" s="102"/>
      <c r="AE52" s="112">
        <f t="shared" si="17"/>
        <v>0</v>
      </c>
      <c r="AG52" s="102"/>
      <c r="AH52" s="112">
        <f t="shared" si="18"/>
        <v>0</v>
      </c>
      <c r="AI52" s="49"/>
    </row>
    <row r="53" spans="3:35" x14ac:dyDescent="0.2">
      <c r="C53" s="52" t="str">
        <f>'MP Calculations'!D80</f>
        <v>2036-37</v>
      </c>
      <c r="D53" s="99">
        <f t="shared" si="7"/>
        <v>67.229719500352999</v>
      </c>
      <c r="F53" s="197">
        <v>31649.900201657867</v>
      </c>
      <c r="G53" s="112">
        <f t="shared" si="8"/>
        <v>30.154544844000942</v>
      </c>
      <c r="I53" s="201">
        <v>32242.439931167679</v>
      </c>
      <c r="J53" s="199">
        <f t="shared" si="9"/>
        <v>30.719088988895905</v>
      </c>
      <c r="L53" s="201">
        <v>6671.2821595845389</v>
      </c>
      <c r="M53" s="61">
        <f t="shared" si="10"/>
        <v>6.3560856674561608</v>
      </c>
      <c r="O53" s="102"/>
      <c r="P53" s="112">
        <f t="shared" si="12"/>
        <v>0</v>
      </c>
      <c r="R53" s="102"/>
      <c r="S53" s="112">
        <f t="shared" si="13"/>
        <v>0</v>
      </c>
      <c r="U53" s="102">
        <v>0</v>
      </c>
      <c r="V53" s="112">
        <f t="shared" si="14"/>
        <v>0</v>
      </c>
      <c r="X53" s="102"/>
      <c r="Y53" s="112">
        <f t="shared" si="15"/>
        <v>0</v>
      </c>
      <c r="AA53" s="102"/>
      <c r="AB53" s="112">
        <f t="shared" si="16"/>
        <v>0</v>
      </c>
      <c r="AD53" s="102"/>
      <c r="AE53" s="112">
        <f t="shared" si="17"/>
        <v>0</v>
      </c>
      <c r="AG53" s="102"/>
      <c r="AH53" s="112">
        <f t="shared" si="18"/>
        <v>0</v>
      </c>
      <c r="AI53" s="49"/>
    </row>
    <row r="54" spans="3:35" x14ac:dyDescent="0.2">
      <c r="C54" s="52" t="str">
        <f>'MP Calculations'!D81</f>
        <v>2037-38</v>
      </c>
      <c r="D54" s="99">
        <f t="shared" si="7"/>
        <v>54.738126310491204</v>
      </c>
      <c r="F54" s="197">
        <v>18538.852435420758</v>
      </c>
      <c r="G54" s="112">
        <f t="shared" si="8"/>
        <v>17.662951654139135</v>
      </c>
      <c r="I54" s="201">
        <v>32242.439931167679</v>
      </c>
      <c r="J54" s="199">
        <f t="shared" si="9"/>
        <v>30.719088988895905</v>
      </c>
      <c r="L54" s="201">
        <v>6671.2821595845389</v>
      </c>
      <c r="M54" s="61">
        <f t="shared" si="10"/>
        <v>6.3560856674561608</v>
      </c>
      <c r="O54" s="102"/>
      <c r="P54" s="112">
        <f t="shared" si="12"/>
        <v>0</v>
      </c>
      <c r="R54" s="102"/>
      <c r="S54" s="112">
        <f t="shared" si="13"/>
        <v>0</v>
      </c>
      <c r="U54" s="102">
        <v>0</v>
      </c>
      <c r="V54" s="112">
        <f t="shared" si="14"/>
        <v>0</v>
      </c>
      <c r="X54" s="102"/>
      <c r="Y54" s="112">
        <f t="shared" si="15"/>
        <v>0</v>
      </c>
      <c r="AA54" s="102"/>
      <c r="AB54" s="112">
        <f t="shared" si="16"/>
        <v>0</v>
      </c>
      <c r="AD54" s="102"/>
      <c r="AE54" s="112">
        <f t="shared" si="17"/>
        <v>0</v>
      </c>
      <c r="AG54" s="102"/>
      <c r="AH54" s="112">
        <f t="shared" si="18"/>
        <v>0</v>
      </c>
      <c r="AI54" s="49"/>
    </row>
    <row r="55" spans="3:35" x14ac:dyDescent="0.2">
      <c r="C55" s="52" t="str">
        <f>'MP Calculations'!D82</f>
        <v>2038-39</v>
      </c>
      <c r="D55" s="99">
        <f t="shared" si="7"/>
        <v>54.351119443617783</v>
      </c>
      <c r="F55" s="197">
        <v>18132.654007380585</v>
      </c>
      <c r="G55" s="112">
        <f t="shared" si="8"/>
        <v>17.275944787265711</v>
      </c>
      <c r="I55" s="201">
        <v>32242.439931167679</v>
      </c>
      <c r="J55" s="199">
        <f t="shared" si="9"/>
        <v>30.719088988895905</v>
      </c>
      <c r="L55" s="201">
        <v>6671.2821595845389</v>
      </c>
      <c r="M55" s="61">
        <f t="shared" si="10"/>
        <v>6.3560856674561608</v>
      </c>
      <c r="O55" s="102"/>
      <c r="P55" s="112">
        <f t="shared" si="12"/>
        <v>0</v>
      </c>
      <c r="R55" s="102"/>
      <c r="S55" s="112">
        <f t="shared" si="13"/>
        <v>0</v>
      </c>
      <c r="U55" s="102">
        <v>0</v>
      </c>
      <c r="V55" s="112">
        <f t="shared" si="14"/>
        <v>0</v>
      </c>
      <c r="X55" s="102"/>
      <c r="Y55" s="112">
        <f t="shared" si="15"/>
        <v>0</v>
      </c>
      <c r="AA55" s="102"/>
      <c r="AB55" s="112">
        <f t="shared" si="16"/>
        <v>0</v>
      </c>
      <c r="AD55" s="102"/>
      <c r="AE55" s="112">
        <f t="shared" si="17"/>
        <v>0</v>
      </c>
      <c r="AG55" s="102"/>
      <c r="AH55" s="112">
        <f t="shared" si="18"/>
        <v>0</v>
      </c>
      <c r="AI55" s="49"/>
    </row>
    <row r="56" spans="3:35" x14ac:dyDescent="0.2">
      <c r="C56" s="52" t="str">
        <f>'MP Calculations'!D83</f>
        <v>2039-40</v>
      </c>
      <c r="D56" s="99">
        <f t="shared" si="7"/>
        <v>53.677104946560192</v>
      </c>
      <c r="F56" s="197">
        <v>17425.215321878844</v>
      </c>
      <c r="G56" s="112">
        <f t="shared" si="8"/>
        <v>16.601930290208124</v>
      </c>
      <c r="I56" s="201">
        <v>32242.439931167679</v>
      </c>
      <c r="J56" s="199">
        <f t="shared" si="9"/>
        <v>30.719088988895905</v>
      </c>
      <c r="L56" s="201">
        <v>6671.2821595845389</v>
      </c>
      <c r="M56" s="61">
        <f t="shared" si="10"/>
        <v>6.3560856674561608</v>
      </c>
      <c r="O56" s="102"/>
      <c r="P56" s="112">
        <f t="shared" si="12"/>
        <v>0</v>
      </c>
      <c r="R56" s="102"/>
      <c r="S56" s="112">
        <f t="shared" si="13"/>
        <v>0</v>
      </c>
      <c r="U56" s="102">
        <v>0</v>
      </c>
      <c r="V56" s="112">
        <f t="shared" si="14"/>
        <v>0</v>
      </c>
      <c r="X56" s="102"/>
      <c r="Y56" s="112">
        <f t="shared" si="15"/>
        <v>0</v>
      </c>
      <c r="AA56" s="102"/>
      <c r="AB56" s="112">
        <f t="shared" si="16"/>
        <v>0</v>
      </c>
      <c r="AD56" s="102"/>
      <c r="AE56" s="112">
        <f t="shared" si="17"/>
        <v>0</v>
      </c>
      <c r="AG56" s="102"/>
      <c r="AH56" s="112">
        <f t="shared" si="18"/>
        <v>0</v>
      </c>
      <c r="AI56" s="49"/>
    </row>
    <row r="57" spans="3:35" x14ac:dyDescent="0.2">
      <c r="C57" s="52" t="str">
        <f>'MP Calculations'!D84</f>
        <v>2040-41</v>
      </c>
      <c r="D57" s="99">
        <f t="shared" si="7"/>
        <v>51.193338979509051</v>
      </c>
      <c r="F57" s="197">
        <v>16812.083046221476</v>
      </c>
      <c r="G57" s="112">
        <f t="shared" si="8"/>
        <v>16.017766530328526</v>
      </c>
      <c r="I57" s="201">
        <v>31815.882035004182</v>
      </c>
      <c r="J57" s="199">
        <f t="shared" si="9"/>
        <v>30.312684572879736</v>
      </c>
      <c r="L57" s="201">
        <v>5104.0371119178562</v>
      </c>
      <c r="M57" s="61">
        <f t="shared" si="10"/>
        <v>4.8628878763007926</v>
      </c>
      <c r="O57" s="102"/>
      <c r="P57" s="112">
        <f t="shared" si="12"/>
        <v>0</v>
      </c>
      <c r="R57" s="102"/>
      <c r="S57" s="112">
        <f t="shared" si="13"/>
        <v>0</v>
      </c>
      <c r="U57" s="102">
        <v>0</v>
      </c>
      <c r="V57" s="112">
        <f t="shared" si="14"/>
        <v>0</v>
      </c>
      <c r="X57" s="102"/>
      <c r="Y57" s="112">
        <f t="shared" si="15"/>
        <v>0</v>
      </c>
      <c r="AA57" s="102"/>
      <c r="AB57" s="112">
        <f t="shared" si="16"/>
        <v>0</v>
      </c>
      <c r="AD57" s="102"/>
      <c r="AE57" s="112">
        <f t="shared" si="17"/>
        <v>0</v>
      </c>
      <c r="AG57" s="102"/>
      <c r="AH57" s="112">
        <f t="shared" si="18"/>
        <v>0</v>
      </c>
      <c r="AI57" s="49"/>
    </row>
    <row r="58" spans="3:35" x14ac:dyDescent="0.2">
      <c r="C58" s="52" t="str">
        <f>'MP Calculations'!D85</f>
        <v>2041-42</v>
      </c>
      <c r="D58" s="99">
        <f t="shared" si="7"/>
        <v>48.808997868913252</v>
      </c>
      <c r="F58" s="197">
        <v>16229.494405932457</v>
      </c>
      <c r="G58" s="112">
        <f t="shared" si="8"/>
        <v>15.462703317892851</v>
      </c>
      <c r="I58" s="201">
        <v>31486.131604636663</v>
      </c>
      <c r="J58" s="199">
        <f t="shared" si="9"/>
        <v>29.998513783193481</v>
      </c>
      <c r="L58" s="201">
        <v>3513.7962700780404</v>
      </c>
      <c r="M58" s="61">
        <f t="shared" si="10"/>
        <v>3.3477807678269187</v>
      </c>
      <c r="O58" s="102"/>
      <c r="P58" s="112">
        <f t="shared" si="12"/>
        <v>0</v>
      </c>
      <c r="R58" s="102"/>
      <c r="S58" s="112">
        <f t="shared" si="13"/>
        <v>0</v>
      </c>
      <c r="U58" s="102">
        <v>0</v>
      </c>
      <c r="V58" s="112">
        <f t="shared" si="14"/>
        <v>0</v>
      </c>
      <c r="X58" s="102"/>
      <c r="Y58" s="112">
        <f t="shared" si="15"/>
        <v>0</v>
      </c>
      <c r="AA58" s="102"/>
      <c r="AB58" s="112">
        <f t="shared" si="16"/>
        <v>0</v>
      </c>
      <c r="AD58" s="102"/>
      <c r="AE58" s="112">
        <f t="shared" si="17"/>
        <v>0</v>
      </c>
      <c r="AG58" s="102"/>
      <c r="AH58" s="112">
        <f t="shared" si="18"/>
        <v>0</v>
      </c>
      <c r="AI58" s="49"/>
    </row>
    <row r="59" spans="3:35" x14ac:dyDescent="0.2">
      <c r="C59" s="52" t="str">
        <f>'MP Calculations'!D86</f>
        <v>2042-43</v>
      </c>
      <c r="D59" s="99">
        <f t="shared" si="7"/>
        <v>48.560598847019946</v>
      </c>
      <c r="F59" s="197">
        <v>15713.988209308327</v>
      </c>
      <c r="G59" s="112">
        <f t="shared" si="8"/>
        <v>14.971553120754207</v>
      </c>
      <c r="I59" s="201">
        <v>31486.131604636663</v>
      </c>
      <c r="J59" s="199">
        <f t="shared" si="9"/>
        <v>29.998513783193481</v>
      </c>
      <c r="L59" s="201">
        <v>3768.5854075064781</v>
      </c>
      <c r="M59" s="61">
        <f t="shared" si="10"/>
        <v>3.5905319430722575</v>
      </c>
      <c r="O59" s="102"/>
      <c r="P59" s="112">
        <f t="shared" si="12"/>
        <v>0</v>
      </c>
      <c r="R59" s="102"/>
      <c r="S59" s="112">
        <f t="shared" si="13"/>
        <v>0</v>
      </c>
      <c r="U59" s="102">
        <v>0</v>
      </c>
      <c r="V59" s="112">
        <f t="shared" si="14"/>
        <v>0</v>
      </c>
      <c r="X59" s="102"/>
      <c r="Y59" s="112">
        <f t="shared" si="15"/>
        <v>0</v>
      </c>
      <c r="AA59" s="102"/>
      <c r="AB59" s="112">
        <f t="shared" si="16"/>
        <v>0</v>
      </c>
      <c r="AD59" s="102"/>
      <c r="AE59" s="112">
        <f t="shared" si="17"/>
        <v>0</v>
      </c>
      <c r="AG59" s="102"/>
      <c r="AH59" s="112">
        <f t="shared" si="18"/>
        <v>0</v>
      </c>
      <c r="AI59" s="49"/>
    </row>
    <row r="60" spans="3:35" x14ac:dyDescent="0.2">
      <c r="C60" s="52" t="str">
        <f>'MP Calculations'!D87</f>
        <v>2043-44</v>
      </c>
      <c r="D60" s="99">
        <f t="shared" si="7"/>
        <v>42.710491849633662</v>
      </c>
      <c r="F60" s="197">
        <v>15711.664676609365</v>
      </c>
      <c r="G60" s="112">
        <f t="shared" si="8"/>
        <v>14.969339367455746</v>
      </c>
      <c r="I60" s="201">
        <v>27449.330221824799</v>
      </c>
      <c r="J60" s="199">
        <f t="shared" si="9"/>
        <v>26.152438201636066</v>
      </c>
      <c r="L60" s="201">
        <v>1667.4981727705208</v>
      </c>
      <c r="M60" s="61">
        <f t="shared" si="10"/>
        <v>1.5887142805418522</v>
      </c>
      <c r="O60" s="102"/>
      <c r="P60" s="112">
        <f t="shared" si="12"/>
        <v>0</v>
      </c>
      <c r="R60" s="102"/>
      <c r="S60" s="112">
        <f t="shared" si="13"/>
        <v>0</v>
      </c>
      <c r="U60" s="102">
        <v>0</v>
      </c>
      <c r="V60" s="112">
        <f t="shared" si="14"/>
        <v>0</v>
      </c>
      <c r="X60" s="102"/>
      <c r="Y60" s="112">
        <f t="shared" si="15"/>
        <v>0</v>
      </c>
      <c r="AA60" s="102"/>
      <c r="AB60" s="112">
        <f t="shared" si="16"/>
        <v>0</v>
      </c>
      <c r="AD60" s="102"/>
      <c r="AE60" s="112">
        <f t="shared" si="17"/>
        <v>0</v>
      </c>
      <c r="AG60" s="102"/>
      <c r="AH60" s="112">
        <f t="shared" si="18"/>
        <v>0</v>
      </c>
      <c r="AI60" s="49"/>
    </row>
    <row r="61" spans="3:35" x14ac:dyDescent="0.2">
      <c r="C61" s="52" t="str">
        <f>'MP Calculations'!D88</f>
        <v>2044-45</v>
      </c>
      <c r="D61" s="99">
        <f t="shared" si="7"/>
        <v>25.234973959790711</v>
      </c>
      <c r="F61" s="197">
        <v>15553.664453079891</v>
      </c>
      <c r="G61" s="112">
        <f t="shared" si="8"/>
        <v>14.818804143160406</v>
      </c>
      <c r="I61" s="201">
        <v>9265.2065616355776</v>
      </c>
      <c r="J61" s="199">
        <f t="shared" si="9"/>
        <v>8.8274555360884541</v>
      </c>
      <c r="L61" s="201">
        <v>1667.4981727705208</v>
      </c>
      <c r="M61" s="61">
        <f t="shared" si="10"/>
        <v>1.5887142805418522</v>
      </c>
      <c r="O61" s="102"/>
      <c r="P61" s="112">
        <f t="shared" si="12"/>
        <v>0</v>
      </c>
      <c r="R61" s="102"/>
      <c r="S61" s="112">
        <f t="shared" si="13"/>
        <v>0</v>
      </c>
      <c r="U61" s="102">
        <v>0</v>
      </c>
      <c r="V61" s="112">
        <f t="shared" si="14"/>
        <v>0</v>
      </c>
      <c r="X61" s="102"/>
      <c r="Y61" s="112">
        <f t="shared" si="15"/>
        <v>0</v>
      </c>
      <c r="AA61" s="102"/>
      <c r="AB61" s="112">
        <f t="shared" si="16"/>
        <v>0</v>
      </c>
      <c r="AD61" s="102"/>
      <c r="AE61" s="112">
        <f t="shared" si="17"/>
        <v>0</v>
      </c>
      <c r="AG61" s="102"/>
      <c r="AH61" s="112">
        <f t="shared" si="18"/>
        <v>0</v>
      </c>
      <c r="AI61" s="49"/>
    </row>
    <row r="62" spans="3:35" x14ac:dyDescent="0.2">
      <c r="C62" s="52" t="str">
        <f>'MP Calculations'!D89</f>
        <v>2045-46</v>
      </c>
      <c r="D62" s="99">
        <f t="shared" si="7"/>
        <v>22.623724349337976</v>
      </c>
      <c r="F62" s="197">
        <v>15553.664453079891</v>
      </c>
      <c r="G62" s="112">
        <f t="shared" si="8"/>
        <v>14.818804143160406</v>
      </c>
      <c r="I62" s="201">
        <v>6524.4658208948367</v>
      </c>
      <c r="J62" s="199">
        <f t="shared" si="9"/>
        <v>6.2162059256357196</v>
      </c>
      <c r="L62" s="201">
        <v>1667.4981727705208</v>
      </c>
      <c r="M62" s="61">
        <f t="shared" si="10"/>
        <v>1.5887142805418522</v>
      </c>
      <c r="O62" s="102"/>
      <c r="P62" s="112">
        <f t="shared" si="12"/>
        <v>0</v>
      </c>
      <c r="R62" s="102"/>
      <c r="S62" s="112">
        <f t="shared" si="13"/>
        <v>0</v>
      </c>
      <c r="U62" s="102">
        <v>0</v>
      </c>
      <c r="V62" s="112">
        <f t="shared" si="14"/>
        <v>0</v>
      </c>
      <c r="X62" s="102"/>
      <c r="Y62" s="112">
        <f t="shared" si="15"/>
        <v>0</v>
      </c>
      <c r="AA62" s="102"/>
      <c r="AB62" s="112">
        <f t="shared" si="16"/>
        <v>0</v>
      </c>
      <c r="AD62" s="102"/>
      <c r="AE62" s="112">
        <f t="shared" si="17"/>
        <v>0</v>
      </c>
      <c r="AG62" s="102"/>
      <c r="AH62" s="112">
        <f t="shared" si="18"/>
        <v>0</v>
      </c>
      <c r="AI62" s="49"/>
    </row>
    <row r="63" spans="3:35" x14ac:dyDescent="0.2">
      <c r="C63" s="52" t="str">
        <f>'MP Calculations'!D90</f>
        <v>2046-47</v>
      </c>
      <c r="D63" s="99">
        <f t="shared" si="7"/>
        <v>17.909443003814033</v>
      </c>
      <c r="F63" s="197">
        <v>15553.664453079891</v>
      </c>
      <c r="G63" s="112">
        <f t="shared" si="8"/>
        <v>14.818804143160406</v>
      </c>
      <c r="I63" s="201">
        <v>1857.7991542281698</v>
      </c>
      <c r="J63" s="199">
        <f t="shared" si="9"/>
        <v>1.7700241564864683</v>
      </c>
      <c r="L63" s="201">
        <v>1386.1036141637476</v>
      </c>
      <c r="M63" s="61">
        <f t="shared" si="10"/>
        <v>1.3206147041671588</v>
      </c>
      <c r="O63" s="102"/>
      <c r="P63" s="112">
        <f t="shared" si="12"/>
        <v>0</v>
      </c>
      <c r="R63" s="102"/>
      <c r="S63" s="112">
        <f t="shared" si="13"/>
        <v>0</v>
      </c>
      <c r="U63" s="102">
        <v>0</v>
      </c>
      <c r="V63" s="112">
        <f t="shared" si="14"/>
        <v>0</v>
      </c>
      <c r="X63" s="102"/>
      <c r="Y63" s="112">
        <f t="shared" si="15"/>
        <v>0</v>
      </c>
      <c r="AA63" s="102"/>
      <c r="AB63" s="112">
        <f t="shared" si="16"/>
        <v>0</v>
      </c>
      <c r="AD63" s="102"/>
      <c r="AE63" s="112">
        <f t="shared" si="17"/>
        <v>0</v>
      </c>
      <c r="AG63" s="102"/>
      <c r="AH63" s="112">
        <f t="shared" si="18"/>
        <v>0</v>
      </c>
      <c r="AI63" s="49"/>
    </row>
    <row r="64" spans="3:35" x14ac:dyDescent="0.2">
      <c r="C64" s="52" t="str">
        <f>'MP Calculations'!D91</f>
        <v>2047-48</v>
      </c>
      <c r="D64" s="99">
        <f t="shared" si="7"/>
        <v>17.262106536493132</v>
      </c>
      <c r="F64" s="197">
        <v>15553.664453079891</v>
      </c>
      <c r="G64" s="112">
        <f t="shared" si="8"/>
        <v>14.818804143160406</v>
      </c>
      <c r="I64" s="201">
        <v>1857.7991542281698</v>
      </c>
      <c r="J64" s="199">
        <f t="shared" si="9"/>
        <v>1.7700241564864683</v>
      </c>
      <c r="L64" s="201">
        <v>706.66591435458281</v>
      </c>
      <c r="M64" s="61">
        <f t="shared" si="10"/>
        <v>0.67327823684625687</v>
      </c>
      <c r="O64" s="102"/>
      <c r="P64" s="112">
        <f t="shared" si="12"/>
        <v>0</v>
      </c>
      <c r="R64" s="102"/>
      <c r="S64" s="112">
        <f t="shared" si="13"/>
        <v>0</v>
      </c>
      <c r="U64" s="102">
        <v>0</v>
      </c>
      <c r="V64" s="112">
        <f t="shared" si="14"/>
        <v>0</v>
      </c>
      <c r="X64" s="102"/>
      <c r="Y64" s="112">
        <f t="shared" si="15"/>
        <v>0</v>
      </c>
      <c r="AA64" s="102"/>
      <c r="AB64" s="112">
        <f t="shared" si="16"/>
        <v>0</v>
      </c>
      <c r="AD64" s="102"/>
      <c r="AE64" s="112">
        <f t="shared" si="17"/>
        <v>0</v>
      </c>
      <c r="AG64" s="102"/>
      <c r="AH64" s="112">
        <f t="shared" si="18"/>
        <v>0</v>
      </c>
      <c r="AI64" s="49"/>
    </row>
    <row r="65" spans="3:35" x14ac:dyDescent="0.2">
      <c r="C65" s="52" t="str">
        <f>'MP Calculations'!D92</f>
        <v>2048-49</v>
      </c>
      <c r="D65" s="99">
        <f t="shared" si="7"/>
        <v>16.469578111439109</v>
      </c>
      <c r="F65" s="197">
        <v>15553.664453079891</v>
      </c>
      <c r="G65" s="112">
        <f t="shared" si="8"/>
        <v>14.818804143160406</v>
      </c>
      <c r="I65" s="201">
        <v>1025.9694685306561</v>
      </c>
      <c r="J65" s="199">
        <f t="shared" si="9"/>
        <v>0.97749573143244617</v>
      </c>
      <c r="L65" s="201">
        <v>706.66591435458281</v>
      </c>
      <c r="M65" s="61">
        <f t="shared" si="10"/>
        <v>0.67327823684625687</v>
      </c>
      <c r="O65" s="102"/>
      <c r="P65" s="112">
        <f t="shared" si="12"/>
        <v>0</v>
      </c>
      <c r="R65" s="102"/>
      <c r="S65" s="112">
        <f t="shared" si="13"/>
        <v>0</v>
      </c>
      <c r="U65" s="102">
        <v>0</v>
      </c>
      <c r="V65" s="112">
        <f t="shared" si="14"/>
        <v>0</v>
      </c>
      <c r="X65" s="102"/>
      <c r="Y65" s="112">
        <f t="shared" si="15"/>
        <v>0</v>
      </c>
      <c r="AA65" s="102"/>
      <c r="AB65" s="112">
        <f t="shared" si="16"/>
        <v>0</v>
      </c>
      <c r="AD65" s="102"/>
      <c r="AE65" s="112">
        <f t="shared" si="17"/>
        <v>0</v>
      </c>
      <c r="AG65" s="102"/>
      <c r="AH65" s="112">
        <f t="shared" si="18"/>
        <v>0</v>
      </c>
      <c r="AI65" s="49"/>
    </row>
    <row r="66" spans="3:35" x14ac:dyDescent="0.2">
      <c r="C66" s="52" t="str">
        <f>'MP Calculations'!D93</f>
        <v>2049-50</v>
      </c>
      <c r="D66" s="99">
        <f t="shared" si="7"/>
        <v>15.508725065134675</v>
      </c>
      <c r="F66" s="197">
        <v>15553.664453079891</v>
      </c>
      <c r="G66" s="112">
        <f t="shared" si="8"/>
        <v>14.818804143160406</v>
      </c>
      <c r="I66" s="201">
        <v>17.467991180573414</v>
      </c>
      <c r="J66" s="199">
        <f t="shared" si="9"/>
        <v>1.6642685128012587E-2</v>
      </c>
      <c r="L66" s="201">
        <v>706.66591435458281</v>
      </c>
      <c r="M66" s="61">
        <f t="shared" si="10"/>
        <v>0.67327823684625687</v>
      </c>
      <c r="O66" s="102"/>
      <c r="P66" s="112">
        <f t="shared" si="12"/>
        <v>0</v>
      </c>
      <c r="R66" s="102"/>
      <c r="S66" s="112">
        <f t="shared" si="13"/>
        <v>0</v>
      </c>
      <c r="U66" s="102">
        <v>0</v>
      </c>
      <c r="V66" s="112">
        <f t="shared" si="14"/>
        <v>0</v>
      </c>
      <c r="X66" s="102"/>
      <c r="Y66" s="112">
        <f t="shared" si="15"/>
        <v>0</v>
      </c>
      <c r="AA66" s="102"/>
      <c r="AB66" s="112">
        <f t="shared" si="16"/>
        <v>0</v>
      </c>
      <c r="AD66" s="102"/>
      <c r="AE66" s="112">
        <f t="shared" si="17"/>
        <v>0</v>
      </c>
      <c r="AG66" s="102"/>
      <c r="AH66" s="112">
        <f t="shared" si="18"/>
        <v>0</v>
      </c>
      <c r="AI66" s="49"/>
    </row>
    <row r="67" spans="3:35" x14ac:dyDescent="0.2">
      <c r="C67" s="52" t="str">
        <f>'MP Calculations'!D94</f>
        <v>2050-51</v>
      </c>
      <c r="D67" s="99">
        <f t="shared" si="7"/>
        <v>15.508725065134675</v>
      </c>
      <c r="F67" s="197">
        <v>15553.664453079891</v>
      </c>
      <c r="G67" s="112">
        <f t="shared" si="8"/>
        <v>14.818804143160406</v>
      </c>
      <c r="I67" s="201">
        <v>17.467991180573414</v>
      </c>
      <c r="J67" s="199">
        <f t="shared" si="9"/>
        <v>1.6642685128012587E-2</v>
      </c>
      <c r="L67" s="201">
        <v>706.66591435458281</v>
      </c>
      <c r="M67" s="61">
        <f t="shared" si="10"/>
        <v>0.67327823684625687</v>
      </c>
      <c r="O67" s="102"/>
      <c r="P67" s="112">
        <f t="shared" si="12"/>
        <v>0</v>
      </c>
      <c r="R67" s="102"/>
      <c r="S67" s="112">
        <f t="shared" si="13"/>
        <v>0</v>
      </c>
      <c r="U67" s="102">
        <v>0</v>
      </c>
      <c r="V67" s="112">
        <f t="shared" si="14"/>
        <v>0</v>
      </c>
      <c r="X67" s="102"/>
      <c r="Y67" s="112">
        <f t="shared" si="15"/>
        <v>0</v>
      </c>
      <c r="AA67" s="102"/>
      <c r="AB67" s="112">
        <f t="shared" si="16"/>
        <v>0</v>
      </c>
      <c r="AD67" s="102"/>
      <c r="AE67" s="112">
        <f t="shared" si="17"/>
        <v>0</v>
      </c>
      <c r="AG67" s="102"/>
      <c r="AH67" s="112">
        <f t="shared" si="18"/>
        <v>0</v>
      </c>
      <c r="AI67" s="49"/>
    </row>
    <row r="68" spans="3:35" x14ac:dyDescent="0.2">
      <c r="C68" s="52" t="str">
        <f>'MP Calculations'!D95</f>
        <v>2051-52</v>
      </c>
      <c r="D68" s="99">
        <f t="shared" si="7"/>
        <v>15.196931912468918</v>
      </c>
      <c r="F68" s="197">
        <v>15553.664453079891</v>
      </c>
      <c r="G68" s="112">
        <f t="shared" si="8"/>
        <v>14.818804143160406</v>
      </c>
      <c r="I68" s="201">
        <v>17.467991180573414</v>
      </c>
      <c r="J68" s="199">
        <f t="shared" si="9"/>
        <v>1.6642685128012587E-2</v>
      </c>
      <c r="L68" s="201">
        <v>379.41102735552568</v>
      </c>
      <c r="M68" s="61">
        <f t="shared" si="10"/>
        <v>0.36148508418049841</v>
      </c>
      <c r="O68" s="102"/>
      <c r="P68" s="112">
        <f t="shared" si="12"/>
        <v>0</v>
      </c>
      <c r="R68" s="102"/>
      <c r="S68" s="112">
        <f t="shared" si="13"/>
        <v>0</v>
      </c>
      <c r="U68" s="102">
        <v>0</v>
      </c>
      <c r="V68" s="112">
        <f t="shared" si="14"/>
        <v>0</v>
      </c>
      <c r="X68" s="102"/>
      <c r="Y68" s="112">
        <f t="shared" si="15"/>
        <v>0</v>
      </c>
      <c r="AA68" s="102"/>
      <c r="AB68" s="112">
        <f t="shared" si="16"/>
        <v>0</v>
      </c>
      <c r="AD68" s="102"/>
      <c r="AE68" s="112">
        <f t="shared" si="17"/>
        <v>0</v>
      </c>
      <c r="AG68" s="102"/>
      <c r="AH68" s="112">
        <f t="shared" si="18"/>
        <v>0</v>
      </c>
      <c r="AI68" s="49"/>
    </row>
    <row r="69" spans="3:35" x14ac:dyDescent="0.2">
      <c r="C69" s="52" t="str">
        <f>'MP Calculations'!D96</f>
        <v>2052-53</v>
      </c>
      <c r="D69" s="99">
        <f t="shared" si="7"/>
        <v>15.196931912468918</v>
      </c>
      <c r="F69" s="197">
        <v>15553.664453079891</v>
      </c>
      <c r="G69" s="112">
        <f t="shared" si="8"/>
        <v>14.818804143160406</v>
      </c>
      <c r="I69" s="201">
        <v>17.467991180573414</v>
      </c>
      <c r="J69" s="199">
        <f t="shared" si="9"/>
        <v>1.6642685128012587E-2</v>
      </c>
      <c r="L69" s="201">
        <v>379.41102735552568</v>
      </c>
      <c r="M69" s="61">
        <f t="shared" si="10"/>
        <v>0.36148508418049841</v>
      </c>
      <c r="O69" s="102"/>
      <c r="P69" s="112">
        <f t="shared" si="12"/>
        <v>0</v>
      </c>
      <c r="R69" s="102"/>
      <c r="S69" s="112">
        <f t="shared" si="13"/>
        <v>0</v>
      </c>
      <c r="U69" s="102">
        <v>0</v>
      </c>
      <c r="V69" s="112">
        <f t="shared" si="14"/>
        <v>0</v>
      </c>
      <c r="X69" s="102"/>
      <c r="Y69" s="112">
        <f t="shared" si="15"/>
        <v>0</v>
      </c>
      <c r="AA69" s="102"/>
      <c r="AB69" s="112">
        <f t="shared" si="16"/>
        <v>0</v>
      </c>
      <c r="AD69" s="102"/>
      <c r="AE69" s="112">
        <f t="shared" si="17"/>
        <v>0</v>
      </c>
      <c r="AG69" s="102"/>
      <c r="AH69" s="112">
        <f t="shared" si="18"/>
        <v>0</v>
      </c>
      <c r="AI69" s="49"/>
    </row>
    <row r="70" spans="3:35" x14ac:dyDescent="0.2">
      <c r="C70" s="52" t="str">
        <f>'MP Calculations'!D97</f>
        <v>2053-54</v>
      </c>
      <c r="D70" s="99">
        <f t="shared" si="7"/>
        <v>15.196931912468918</v>
      </c>
      <c r="F70" s="197">
        <v>15553.664453079891</v>
      </c>
      <c r="G70" s="112">
        <f t="shared" si="8"/>
        <v>14.818804143160406</v>
      </c>
      <c r="I70" s="201">
        <v>17.467991180573414</v>
      </c>
      <c r="J70" s="199">
        <f t="shared" si="9"/>
        <v>1.6642685128012587E-2</v>
      </c>
      <c r="L70" s="201">
        <v>379.41102735552568</v>
      </c>
      <c r="M70" s="61">
        <f t="shared" si="10"/>
        <v>0.36148508418049841</v>
      </c>
      <c r="O70" s="102"/>
      <c r="P70" s="112">
        <f t="shared" si="12"/>
        <v>0</v>
      </c>
      <c r="R70" s="102"/>
      <c r="S70" s="112">
        <f t="shared" si="13"/>
        <v>0</v>
      </c>
      <c r="U70" s="102">
        <v>0</v>
      </c>
      <c r="V70" s="112">
        <f t="shared" si="14"/>
        <v>0</v>
      </c>
      <c r="X70" s="102"/>
      <c r="Y70" s="112">
        <f t="shared" si="15"/>
        <v>0</v>
      </c>
      <c r="AA70" s="102"/>
      <c r="AB70" s="112">
        <f t="shared" si="16"/>
        <v>0</v>
      </c>
      <c r="AD70" s="102"/>
      <c r="AE70" s="112">
        <f t="shared" si="17"/>
        <v>0</v>
      </c>
      <c r="AG70" s="102"/>
      <c r="AH70" s="112">
        <f t="shared" si="18"/>
        <v>0</v>
      </c>
      <c r="AI70" s="49"/>
    </row>
    <row r="71" spans="3:35" x14ac:dyDescent="0.2">
      <c r="C71" s="52" t="str">
        <f>'MP Calculations'!D98</f>
        <v>2054-55</v>
      </c>
      <c r="D71" s="99">
        <f t="shared" si="7"/>
        <v>15.196931912468918</v>
      </c>
      <c r="F71" s="197">
        <v>15553.664453079891</v>
      </c>
      <c r="G71" s="112">
        <f t="shared" si="8"/>
        <v>14.818804143160406</v>
      </c>
      <c r="I71" s="201">
        <v>17.467991180573414</v>
      </c>
      <c r="J71" s="199">
        <f t="shared" si="9"/>
        <v>1.6642685128012587E-2</v>
      </c>
      <c r="L71" s="201">
        <v>379.41102735552568</v>
      </c>
      <c r="M71" s="61">
        <f t="shared" si="10"/>
        <v>0.36148508418049841</v>
      </c>
      <c r="O71" s="102"/>
      <c r="P71" s="112">
        <f t="shared" si="12"/>
        <v>0</v>
      </c>
      <c r="R71" s="102"/>
      <c r="S71" s="112">
        <f t="shared" si="13"/>
        <v>0</v>
      </c>
      <c r="U71" s="102">
        <v>0</v>
      </c>
      <c r="V71" s="112">
        <f t="shared" si="14"/>
        <v>0</v>
      </c>
      <c r="X71" s="102"/>
      <c r="Y71" s="112">
        <f t="shared" si="15"/>
        <v>0</v>
      </c>
      <c r="AA71" s="102"/>
      <c r="AB71" s="112">
        <f t="shared" si="16"/>
        <v>0</v>
      </c>
      <c r="AD71" s="102"/>
      <c r="AE71" s="112">
        <f t="shared" si="17"/>
        <v>0</v>
      </c>
      <c r="AG71" s="102"/>
      <c r="AH71" s="112">
        <f t="shared" si="18"/>
        <v>0</v>
      </c>
      <c r="AI71" s="49"/>
    </row>
    <row r="72" spans="3:35" x14ac:dyDescent="0.2">
      <c r="C72" s="52" t="str">
        <f>'MP Calculations'!D99</f>
        <v>2055-56</v>
      </c>
      <c r="D72" s="99">
        <f>SUM(G72,J72, M72)</f>
        <v>0</v>
      </c>
      <c r="F72" s="102">
        <v>0</v>
      </c>
      <c r="G72" s="112">
        <f t="shared" si="8"/>
        <v>0</v>
      </c>
      <c r="I72" s="102">
        <v>0</v>
      </c>
      <c r="J72" s="207">
        <f t="shared" si="9"/>
        <v>0</v>
      </c>
      <c r="L72" s="102"/>
      <c r="M72" s="61">
        <f t="shared" si="10"/>
        <v>0</v>
      </c>
      <c r="O72" s="102"/>
      <c r="P72" s="112">
        <f t="shared" si="12"/>
        <v>0</v>
      </c>
      <c r="R72" s="102"/>
      <c r="S72" s="112">
        <f t="shared" si="13"/>
        <v>0</v>
      </c>
      <c r="U72" s="102">
        <v>0</v>
      </c>
      <c r="V72" s="112">
        <f t="shared" si="14"/>
        <v>0</v>
      </c>
      <c r="X72" s="102"/>
      <c r="Y72" s="112">
        <f t="shared" si="15"/>
        <v>0</v>
      </c>
      <c r="AA72" s="102"/>
      <c r="AB72" s="112">
        <f t="shared" si="16"/>
        <v>0</v>
      </c>
      <c r="AD72" s="102"/>
      <c r="AE72" s="112">
        <f t="shared" si="17"/>
        <v>0</v>
      </c>
      <c r="AG72" s="102"/>
      <c r="AH72" s="112">
        <f t="shared" si="18"/>
        <v>0</v>
      </c>
    </row>
    <row r="73" spans="3:35" x14ac:dyDescent="0.2">
      <c r="C73" s="52" t="str">
        <f>'MP Calculations'!D100</f>
        <v>2056-57</v>
      </c>
      <c r="D73" s="99">
        <f t="shared" ref="D73:D102" si="19">SUM(G73,J73, M73)</f>
        <v>0</v>
      </c>
      <c r="F73" s="102">
        <v>0</v>
      </c>
      <c r="G73" s="112">
        <f t="shared" si="8"/>
        <v>0</v>
      </c>
      <c r="I73" s="102">
        <v>0</v>
      </c>
      <c r="J73" s="207">
        <f t="shared" si="9"/>
        <v>0</v>
      </c>
      <c r="L73" s="102"/>
      <c r="M73" s="61">
        <f t="shared" si="10"/>
        <v>0</v>
      </c>
      <c r="O73" s="102"/>
      <c r="P73" s="112">
        <f t="shared" si="12"/>
        <v>0</v>
      </c>
      <c r="R73" s="102"/>
      <c r="S73" s="112">
        <f t="shared" si="13"/>
        <v>0</v>
      </c>
      <c r="U73" s="102">
        <v>0</v>
      </c>
      <c r="V73" s="112">
        <f t="shared" si="14"/>
        <v>0</v>
      </c>
      <c r="X73" s="102"/>
      <c r="Y73" s="112">
        <f t="shared" si="15"/>
        <v>0</v>
      </c>
      <c r="AA73" s="102"/>
      <c r="AB73" s="112">
        <f t="shared" si="16"/>
        <v>0</v>
      </c>
      <c r="AD73" s="102"/>
      <c r="AE73" s="112">
        <f t="shared" si="17"/>
        <v>0</v>
      </c>
      <c r="AG73" s="102"/>
      <c r="AH73" s="112">
        <f t="shared" si="18"/>
        <v>0</v>
      </c>
    </row>
    <row r="74" spans="3:35" x14ac:dyDescent="0.2">
      <c r="C74" s="52" t="str">
        <f>'MP Calculations'!D101</f>
        <v>2057-58</v>
      </c>
      <c r="D74" s="99">
        <f t="shared" si="19"/>
        <v>0</v>
      </c>
      <c r="F74" s="102">
        <v>0</v>
      </c>
      <c r="G74" s="112">
        <f t="shared" si="8"/>
        <v>0</v>
      </c>
      <c r="I74" s="102">
        <v>0</v>
      </c>
      <c r="J74" s="207">
        <f t="shared" si="9"/>
        <v>0</v>
      </c>
      <c r="L74" s="102"/>
      <c r="M74" s="61">
        <f t="shared" si="10"/>
        <v>0</v>
      </c>
      <c r="O74" s="102"/>
      <c r="P74" s="112">
        <f t="shared" si="12"/>
        <v>0</v>
      </c>
      <c r="R74" s="102"/>
      <c r="S74" s="112">
        <f t="shared" si="13"/>
        <v>0</v>
      </c>
      <c r="U74" s="102">
        <v>0</v>
      </c>
      <c r="V74" s="112">
        <f t="shared" si="14"/>
        <v>0</v>
      </c>
      <c r="X74" s="102"/>
      <c r="Y74" s="112">
        <f t="shared" si="15"/>
        <v>0</v>
      </c>
      <c r="AA74" s="102"/>
      <c r="AB74" s="112">
        <f t="shared" si="16"/>
        <v>0</v>
      </c>
      <c r="AD74" s="102"/>
      <c r="AE74" s="112">
        <f t="shared" si="17"/>
        <v>0</v>
      </c>
      <c r="AG74" s="102"/>
      <c r="AH74" s="112">
        <f t="shared" si="18"/>
        <v>0</v>
      </c>
    </row>
    <row r="75" spans="3:35" x14ac:dyDescent="0.2">
      <c r="C75" s="52" t="str">
        <f>'MP Calculations'!D102</f>
        <v>2058-59</v>
      </c>
      <c r="D75" s="99">
        <f t="shared" si="19"/>
        <v>0</v>
      </c>
      <c r="F75" s="102">
        <v>0</v>
      </c>
      <c r="G75" s="112">
        <f t="shared" si="8"/>
        <v>0</v>
      </c>
      <c r="I75" s="102">
        <v>0</v>
      </c>
      <c r="J75" s="207">
        <f t="shared" si="9"/>
        <v>0</v>
      </c>
      <c r="L75" s="102"/>
      <c r="M75" s="61">
        <f t="shared" si="10"/>
        <v>0</v>
      </c>
      <c r="O75" s="102"/>
      <c r="P75" s="112">
        <f t="shared" si="12"/>
        <v>0</v>
      </c>
      <c r="R75" s="102"/>
      <c r="S75" s="112">
        <f t="shared" si="13"/>
        <v>0</v>
      </c>
      <c r="U75" s="102">
        <v>0</v>
      </c>
      <c r="V75" s="112">
        <f t="shared" si="14"/>
        <v>0</v>
      </c>
      <c r="X75" s="102"/>
      <c r="Y75" s="112">
        <f t="shared" si="15"/>
        <v>0</v>
      </c>
      <c r="AA75" s="102"/>
      <c r="AB75" s="112">
        <f t="shared" si="16"/>
        <v>0</v>
      </c>
      <c r="AD75" s="102"/>
      <c r="AE75" s="112">
        <f t="shared" si="17"/>
        <v>0</v>
      </c>
      <c r="AG75" s="102"/>
      <c r="AH75" s="112">
        <f t="shared" si="18"/>
        <v>0</v>
      </c>
    </row>
    <row r="76" spans="3:35" x14ac:dyDescent="0.2">
      <c r="C76" s="52" t="str">
        <f>'MP Calculations'!D103</f>
        <v>2059-60</v>
      </c>
      <c r="D76" s="99">
        <f t="shared" si="19"/>
        <v>0</v>
      </c>
      <c r="F76" s="102">
        <v>0</v>
      </c>
      <c r="G76" s="112">
        <f t="shared" si="8"/>
        <v>0</v>
      </c>
      <c r="I76" s="102">
        <v>0</v>
      </c>
      <c r="J76" s="207">
        <f t="shared" si="9"/>
        <v>0</v>
      </c>
      <c r="L76" s="102"/>
      <c r="M76" s="61">
        <f t="shared" si="10"/>
        <v>0</v>
      </c>
      <c r="O76" s="102"/>
      <c r="P76" s="112">
        <f t="shared" ref="P76:P102" si="20">O76*$P$9/$F$6</f>
        <v>0</v>
      </c>
      <c r="R76" s="102"/>
      <c r="S76" s="112">
        <f t="shared" ref="S76:S102" si="21">R76*$S$9/$F$6</f>
        <v>0</v>
      </c>
      <c r="U76" s="102">
        <v>0</v>
      </c>
      <c r="V76" s="112">
        <f t="shared" ref="V76:V102" si="22">U76*$V$9/$F$6</f>
        <v>0</v>
      </c>
      <c r="X76" s="102"/>
      <c r="Y76" s="112">
        <f t="shared" ref="Y76:Y102" si="23">X76*$Y$9/$F$6</f>
        <v>0</v>
      </c>
      <c r="AA76" s="102"/>
      <c r="AB76" s="112">
        <f t="shared" ref="AB76:AB102" si="24">AA76*$AB$9/$F$6</f>
        <v>0</v>
      </c>
      <c r="AD76" s="102"/>
      <c r="AE76" s="112">
        <f t="shared" ref="AE76:AE102" si="25">AD76*$AE$9/$F$6</f>
        <v>0</v>
      </c>
      <c r="AG76" s="102"/>
      <c r="AH76" s="112">
        <f t="shared" ref="AH76:AH102" si="26">AG76*$AH$9/$F$6</f>
        <v>0</v>
      </c>
    </row>
    <row r="77" spans="3:35" x14ac:dyDescent="0.2">
      <c r="C77" s="52" t="str">
        <f>'MP Calculations'!D104</f>
        <v>2060-61</v>
      </c>
      <c r="D77" s="99">
        <f t="shared" si="19"/>
        <v>0</v>
      </c>
      <c r="F77" s="102">
        <v>0</v>
      </c>
      <c r="G77" s="112">
        <f t="shared" ref="G77:G102" si="27">(F77/10000)/$F$6</f>
        <v>0</v>
      </c>
      <c r="I77" s="102">
        <v>0</v>
      </c>
      <c r="J77" s="207">
        <f t="shared" ref="J77:J102" si="28">(I77/10000)/$J$9</f>
        <v>0</v>
      </c>
      <c r="L77" s="102"/>
      <c r="M77" s="61">
        <f t="shared" ref="M77:M102" si="29">(L77/10000)/$F$6</f>
        <v>0</v>
      </c>
      <c r="O77" s="102"/>
      <c r="P77" s="112">
        <f t="shared" si="20"/>
        <v>0</v>
      </c>
      <c r="R77" s="102"/>
      <c r="S77" s="112">
        <f t="shared" si="21"/>
        <v>0</v>
      </c>
      <c r="U77" s="102">
        <v>0</v>
      </c>
      <c r="V77" s="112">
        <f t="shared" si="22"/>
        <v>0</v>
      </c>
      <c r="X77" s="102"/>
      <c r="Y77" s="112">
        <f t="shared" si="23"/>
        <v>0</v>
      </c>
      <c r="AA77" s="102"/>
      <c r="AB77" s="112">
        <f t="shared" si="24"/>
        <v>0</v>
      </c>
      <c r="AD77" s="102"/>
      <c r="AE77" s="112">
        <f t="shared" si="25"/>
        <v>0</v>
      </c>
      <c r="AG77" s="102"/>
      <c r="AH77" s="112">
        <f t="shared" si="26"/>
        <v>0</v>
      </c>
    </row>
    <row r="78" spans="3:35" x14ac:dyDescent="0.2">
      <c r="C78" s="52" t="str">
        <f>'MP Calculations'!D105</f>
        <v>2061-62</v>
      </c>
      <c r="D78" s="99">
        <f t="shared" si="19"/>
        <v>0</v>
      </c>
      <c r="F78" s="102">
        <v>0</v>
      </c>
      <c r="G78" s="112">
        <f t="shared" si="27"/>
        <v>0</v>
      </c>
      <c r="I78" s="102">
        <v>0</v>
      </c>
      <c r="J78" s="207">
        <f t="shared" si="28"/>
        <v>0</v>
      </c>
      <c r="L78" s="102"/>
      <c r="M78" s="61">
        <f t="shared" si="29"/>
        <v>0</v>
      </c>
      <c r="O78" s="102"/>
      <c r="P78" s="112">
        <f t="shared" si="20"/>
        <v>0</v>
      </c>
      <c r="R78" s="102"/>
      <c r="S78" s="112">
        <f t="shared" si="21"/>
        <v>0</v>
      </c>
      <c r="U78" s="102">
        <v>0</v>
      </c>
      <c r="V78" s="112">
        <f t="shared" si="22"/>
        <v>0</v>
      </c>
      <c r="X78" s="102"/>
      <c r="Y78" s="112">
        <f t="shared" si="23"/>
        <v>0</v>
      </c>
      <c r="AA78" s="102"/>
      <c r="AB78" s="112">
        <f t="shared" si="24"/>
        <v>0</v>
      </c>
      <c r="AD78" s="102"/>
      <c r="AE78" s="112">
        <f t="shared" si="25"/>
        <v>0</v>
      </c>
      <c r="AG78" s="102"/>
      <c r="AH78" s="112">
        <f t="shared" si="26"/>
        <v>0</v>
      </c>
    </row>
    <row r="79" spans="3:35" x14ac:dyDescent="0.2">
      <c r="C79" s="52" t="str">
        <f>'MP Calculations'!D106</f>
        <v>2062-63</v>
      </c>
      <c r="D79" s="99">
        <f t="shared" si="19"/>
        <v>0</v>
      </c>
      <c r="F79" s="102">
        <v>0</v>
      </c>
      <c r="G79" s="112">
        <f t="shared" si="27"/>
        <v>0</v>
      </c>
      <c r="I79" s="102">
        <v>0</v>
      </c>
      <c r="J79" s="207">
        <f t="shared" si="28"/>
        <v>0</v>
      </c>
      <c r="L79" s="102"/>
      <c r="M79" s="61">
        <f t="shared" si="29"/>
        <v>0</v>
      </c>
      <c r="O79" s="102"/>
      <c r="P79" s="112">
        <f t="shared" si="20"/>
        <v>0</v>
      </c>
      <c r="R79" s="102"/>
      <c r="S79" s="112">
        <f t="shared" si="21"/>
        <v>0</v>
      </c>
      <c r="U79" s="102">
        <v>0</v>
      </c>
      <c r="V79" s="112">
        <f t="shared" si="22"/>
        <v>0</v>
      </c>
      <c r="X79" s="102"/>
      <c r="Y79" s="112">
        <f t="shared" si="23"/>
        <v>0</v>
      </c>
      <c r="AA79" s="102"/>
      <c r="AB79" s="112">
        <f t="shared" si="24"/>
        <v>0</v>
      </c>
      <c r="AD79" s="102"/>
      <c r="AE79" s="112">
        <f t="shared" si="25"/>
        <v>0</v>
      </c>
      <c r="AG79" s="102"/>
      <c r="AH79" s="112">
        <f t="shared" si="26"/>
        <v>0</v>
      </c>
    </row>
    <row r="80" spans="3:35" x14ac:dyDescent="0.2">
      <c r="C80" s="52" t="str">
        <f>'MP Calculations'!D107</f>
        <v>2063-64</v>
      </c>
      <c r="D80" s="99">
        <f t="shared" si="19"/>
        <v>0</v>
      </c>
      <c r="F80" s="102">
        <v>0</v>
      </c>
      <c r="G80" s="112">
        <f t="shared" si="27"/>
        <v>0</v>
      </c>
      <c r="I80" s="102">
        <v>0</v>
      </c>
      <c r="J80" s="207">
        <f t="shared" si="28"/>
        <v>0</v>
      </c>
      <c r="L80" s="102"/>
      <c r="M80" s="61">
        <f t="shared" si="29"/>
        <v>0</v>
      </c>
      <c r="O80" s="102"/>
      <c r="P80" s="112">
        <f t="shared" si="20"/>
        <v>0</v>
      </c>
      <c r="R80" s="102"/>
      <c r="S80" s="112">
        <f t="shared" si="21"/>
        <v>0</v>
      </c>
      <c r="U80" s="102">
        <v>0</v>
      </c>
      <c r="V80" s="112">
        <f t="shared" si="22"/>
        <v>0</v>
      </c>
      <c r="X80" s="102"/>
      <c r="Y80" s="112">
        <f t="shared" si="23"/>
        <v>0</v>
      </c>
      <c r="AA80" s="102"/>
      <c r="AB80" s="112">
        <f t="shared" si="24"/>
        <v>0</v>
      </c>
      <c r="AD80" s="102"/>
      <c r="AE80" s="112">
        <f t="shared" si="25"/>
        <v>0</v>
      </c>
      <c r="AG80" s="102"/>
      <c r="AH80" s="112">
        <f t="shared" si="26"/>
        <v>0</v>
      </c>
    </row>
    <row r="81" spans="3:34" x14ac:dyDescent="0.2">
      <c r="C81" s="52" t="str">
        <f>'MP Calculations'!D108</f>
        <v>2064-65</v>
      </c>
      <c r="D81" s="99">
        <f t="shared" si="19"/>
        <v>0</v>
      </c>
      <c r="F81" s="102">
        <v>0</v>
      </c>
      <c r="G81" s="112">
        <f t="shared" si="27"/>
        <v>0</v>
      </c>
      <c r="I81" s="102">
        <v>0</v>
      </c>
      <c r="J81" s="207">
        <f t="shared" si="28"/>
        <v>0</v>
      </c>
      <c r="L81" s="102"/>
      <c r="M81" s="61">
        <f t="shared" si="29"/>
        <v>0</v>
      </c>
      <c r="O81" s="102"/>
      <c r="P81" s="112">
        <f t="shared" si="20"/>
        <v>0</v>
      </c>
      <c r="R81" s="102"/>
      <c r="S81" s="112">
        <f t="shared" si="21"/>
        <v>0</v>
      </c>
      <c r="U81" s="102">
        <v>0</v>
      </c>
      <c r="V81" s="112">
        <f t="shared" si="22"/>
        <v>0</v>
      </c>
      <c r="X81" s="102"/>
      <c r="Y81" s="112">
        <f t="shared" si="23"/>
        <v>0</v>
      </c>
      <c r="AA81" s="102"/>
      <c r="AB81" s="112">
        <f t="shared" si="24"/>
        <v>0</v>
      </c>
      <c r="AD81" s="102"/>
      <c r="AE81" s="112">
        <f t="shared" si="25"/>
        <v>0</v>
      </c>
      <c r="AG81" s="102"/>
      <c r="AH81" s="112">
        <f t="shared" si="26"/>
        <v>0</v>
      </c>
    </row>
    <row r="82" spans="3:34" x14ac:dyDescent="0.2">
      <c r="C82" s="52" t="str">
        <f>'MP Calculations'!D109</f>
        <v>2065-66</v>
      </c>
      <c r="D82" s="99">
        <f t="shared" si="19"/>
        <v>0</v>
      </c>
      <c r="F82" s="102">
        <v>0</v>
      </c>
      <c r="G82" s="112">
        <f t="shared" si="27"/>
        <v>0</v>
      </c>
      <c r="I82" s="102">
        <v>0</v>
      </c>
      <c r="J82" s="207">
        <f t="shared" si="28"/>
        <v>0</v>
      </c>
      <c r="L82" s="102"/>
      <c r="M82" s="61">
        <f t="shared" si="29"/>
        <v>0</v>
      </c>
      <c r="O82" s="102"/>
      <c r="P82" s="112">
        <f t="shared" si="20"/>
        <v>0</v>
      </c>
      <c r="R82" s="102"/>
      <c r="S82" s="112">
        <f t="shared" si="21"/>
        <v>0</v>
      </c>
      <c r="U82" s="102">
        <v>0</v>
      </c>
      <c r="V82" s="112">
        <f t="shared" si="22"/>
        <v>0</v>
      </c>
      <c r="X82" s="102"/>
      <c r="Y82" s="112">
        <f t="shared" si="23"/>
        <v>0</v>
      </c>
      <c r="AA82" s="102"/>
      <c r="AB82" s="112">
        <f t="shared" si="24"/>
        <v>0</v>
      </c>
      <c r="AD82" s="102"/>
      <c r="AE82" s="112">
        <f t="shared" si="25"/>
        <v>0</v>
      </c>
      <c r="AG82" s="102"/>
      <c r="AH82" s="112">
        <f t="shared" si="26"/>
        <v>0</v>
      </c>
    </row>
    <row r="83" spans="3:34" x14ac:dyDescent="0.2">
      <c r="C83" s="52" t="str">
        <f>'MP Calculations'!D110</f>
        <v>2066-67</v>
      </c>
      <c r="D83" s="99">
        <f t="shared" si="19"/>
        <v>0</v>
      </c>
      <c r="F83" s="102">
        <v>0</v>
      </c>
      <c r="G83" s="112">
        <f t="shared" si="27"/>
        <v>0</v>
      </c>
      <c r="I83" s="102">
        <v>0</v>
      </c>
      <c r="J83" s="207">
        <f t="shared" si="28"/>
        <v>0</v>
      </c>
      <c r="L83" s="102"/>
      <c r="M83" s="61">
        <f t="shared" si="29"/>
        <v>0</v>
      </c>
      <c r="O83" s="102"/>
      <c r="P83" s="112">
        <f t="shared" si="20"/>
        <v>0</v>
      </c>
      <c r="R83" s="102"/>
      <c r="S83" s="112">
        <f t="shared" si="21"/>
        <v>0</v>
      </c>
      <c r="U83" s="102">
        <v>0</v>
      </c>
      <c r="V83" s="112">
        <f t="shared" si="22"/>
        <v>0</v>
      </c>
      <c r="X83" s="102"/>
      <c r="Y83" s="112">
        <f t="shared" si="23"/>
        <v>0</v>
      </c>
      <c r="AA83" s="102"/>
      <c r="AB83" s="112">
        <f t="shared" si="24"/>
        <v>0</v>
      </c>
      <c r="AD83" s="102"/>
      <c r="AE83" s="112">
        <f t="shared" si="25"/>
        <v>0</v>
      </c>
      <c r="AG83" s="102"/>
      <c r="AH83" s="112">
        <f t="shared" si="26"/>
        <v>0</v>
      </c>
    </row>
    <row r="84" spans="3:34" x14ac:dyDescent="0.2">
      <c r="C84" s="52" t="str">
        <f>'MP Calculations'!D111</f>
        <v>2067-68</v>
      </c>
      <c r="D84" s="99">
        <f t="shared" si="19"/>
        <v>0</v>
      </c>
      <c r="F84" s="102">
        <v>0</v>
      </c>
      <c r="G84" s="112">
        <f t="shared" si="27"/>
        <v>0</v>
      </c>
      <c r="I84" s="102">
        <v>0</v>
      </c>
      <c r="J84" s="207">
        <f t="shared" si="28"/>
        <v>0</v>
      </c>
      <c r="L84" s="102"/>
      <c r="M84" s="61">
        <f t="shared" si="29"/>
        <v>0</v>
      </c>
      <c r="O84" s="102"/>
      <c r="P84" s="112">
        <f t="shared" si="20"/>
        <v>0</v>
      </c>
      <c r="R84" s="102"/>
      <c r="S84" s="112">
        <f t="shared" si="21"/>
        <v>0</v>
      </c>
      <c r="U84" s="102">
        <v>0</v>
      </c>
      <c r="V84" s="112">
        <f t="shared" si="22"/>
        <v>0</v>
      </c>
      <c r="X84" s="102"/>
      <c r="Y84" s="112">
        <f t="shared" si="23"/>
        <v>0</v>
      </c>
      <c r="AA84" s="102"/>
      <c r="AB84" s="112">
        <f t="shared" si="24"/>
        <v>0</v>
      </c>
      <c r="AD84" s="102"/>
      <c r="AE84" s="112">
        <f t="shared" si="25"/>
        <v>0</v>
      </c>
      <c r="AG84" s="102"/>
      <c r="AH84" s="112">
        <f t="shared" si="26"/>
        <v>0</v>
      </c>
    </row>
    <row r="85" spans="3:34" x14ac:dyDescent="0.2">
      <c r="C85" s="52" t="str">
        <f>'MP Calculations'!D112</f>
        <v>2068-69</v>
      </c>
      <c r="D85" s="99">
        <f t="shared" si="19"/>
        <v>0</v>
      </c>
      <c r="F85" s="102">
        <v>0</v>
      </c>
      <c r="G85" s="112">
        <f t="shared" si="27"/>
        <v>0</v>
      </c>
      <c r="I85" s="102">
        <v>0</v>
      </c>
      <c r="J85" s="207">
        <f t="shared" si="28"/>
        <v>0</v>
      </c>
      <c r="L85" s="102"/>
      <c r="M85" s="61">
        <f t="shared" si="29"/>
        <v>0</v>
      </c>
      <c r="O85" s="102"/>
      <c r="P85" s="112">
        <f t="shared" si="20"/>
        <v>0</v>
      </c>
      <c r="R85" s="102"/>
      <c r="S85" s="112">
        <f t="shared" si="21"/>
        <v>0</v>
      </c>
      <c r="U85" s="102">
        <v>0</v>
      </c>
      <c r="V85" s="112">
        <f t="shared" si="22"/>
        <v>0</v>
      </c>
      <c r="X85" s="102"/>
      <c r="Y85" s="112">
        <f t="shared" si="23"/>
        <v>0</v>
      </c>
      <c r="AA85" s="102"/>
      <c r="AB85" s="112">
        <f t="shared" si="24"/>
        <v>0</v>
      </c>
      <c r="AD85" s="102"/>
      <c r="AE85" s="112">
        <f t="shared" si="25"/>
        <v>0</v>
      </c>
      <c r="AG85" s="102"/>
      <c r="AH85" s="112">
        <f t="shared" si="26"/>
        <v>0</v>
      </c>
    </row>
    <row r="86" spans="3:34" x14ac:dyDescent="0.2">
      <c r="C86" s="52" t="str">
        <f>'MP Calculations'!D113</f>
        <v>2069-70</v>
      </c>
      <c r="D86" s="99">
        <f t="shared" si="19"/>
        <v>0</v>
      </c>
      <c r="F86" s="102">
        <v>0</v>
      </c>
      <c r="G86" s="112">
        <f t="shared" si="27"/>
        <v>0</v>
      </c>
      <c r="I86" s="102">
        <v>0</v>
      </c>
      <c r="J86" s="207">
        <f t="shared" si="28"/>
        <v>0</v>
      </c>
      <c r="L86" s="102"/>
      <c r="M86" s="61">
        <f t="shared" si="29"/>
        <v>0</v>
      </c>
      <c r="O86" s="102"/>
      <c r="P86" s="112">
        <f t="shared" si="20"/>
        <v>0</v>
      </c>
      <c r="R86" s="102"/>
      <c r="S86" s="112">
        <f t="shared" si="21"/>
        <v>0</v>
      </c>
      <c r="U86" s="102">
        <v>0</v>
      </c>
      <c r="V86" s="112">
        <f t="shared" si="22"/>
        <v>0</v>
      </c>
      <c r="X86" s="102"/>
      <c r="Y86" s="112">
        <f t="shared" si="23"/>
        <v>0</v>
      </c>
      <c r="AA86" s="102"/>
      <c r="AB86" s="112">
        <f t="shared" si="24"/>
        <v>0</v>
      </c>
      <c r="AD86" s="102"/>
      <c r="AE86" s="112">
        <f t="shared" si="25"/>
        <v>0</v>
      </c>
      <c r="AG86" s="102"/>
      <c r="AH86" s="112">
        <f t="shared" si="26"/>
        <v>0</v>
      </c>
    </row>
    <row r="87" spans="3:34" x14ac:dyDescent="0.2">
      <c r="C87" s="52" t="str">
        <f>'MP Calculations'!D114</f>
        <v>2070-71</v>
      </c>
      <c r="D87" s="99">
        <f t="shared" si="19"/>
        <v>0</v>
      </c>
      <c r="F87" s="102">
        <v>0</v>
      </c>
      <c r="G87" s="112">
        <f t="shared" si="27"/>
        <v>0</v>
      </c>
      <c r="I87" s="102">
        <v>0</v>
      </c>
      <c r="J87" s="207">
        <f t="shared" si="28"/>
        <v>0</v>
      </c>
      <c r="L87" s="102"/>
      <c r="M87" s="61">
        <f t="shared" si="29"/>
        <v>0</v>
      </c>
      <c r="O87" s="102"/>
      <c r="P87" s="112">
        <f t="shared" si="20"/>
        <v>0</v>
      </c>
      <c r="R87" s="102"/>
      <c r="S87" s="112">
        <f t="shared" si="21"/>
        <v>0</v>
      </c>
      <c r="U87" s="102">
        <v>0</v>
      </c>
      <c r="V87" s="112">
        <f t="shared" si="22"/>
        <v>0</v>
      </c>
      <c r="X87" s="102"/>
      <c r="Y87" s="112">
        <f t="shared" si="23"/>
        <v>0</v>
      </c>
      <c r="AA87" s="102"/>
      <c r="AB87" s="112">
        <f t="shared" si="24"/>
        <v>0</v>
      </c>
      <c r="AD87" s="102"/>
      <c r="AE87" s="112">
        <f t="shared" si="25"/>
        <v>0</v>
      </c>
      <c r="AG87" s="102"/>
      <c r="AH87" s="112">
        <f t="shared" si="26"/>
        <v>0</v>
      </c>
    </row>
    <row r="88" spans="3:34" x14ac:dyDescent="0.2">
      <c r="C88" s="52" t="str">
        <f>'MP Calculations'!D115</f>
        <v>2071-72</v>
      </c>
      <c r="D88" s="99">
        <f t="shared" si="19"/>
        <v>0</v>
      </c>
      <c r="F88" s="102">
        <v>0</v>
      </c>
      <c r="G88" s="112">
        <f t="shared" si="27"/>
        <v>0</v>
      </c>
      <c r="I88" s="102">
        <v>0</v>
      </c>
      <c r="J88" s="207">
        <f t="shared" si="28"/>
        <v>0</v>
      </c>
      <c r="L88" s="102"/>
      <c r="M88" s="61">
        <f t="shared" si="29"/>
        <v>0</v>
      </c>
      <c r="O88" s="102"/>
      <c r="P88" s="112">
        <f t="shared" si="20"/>
        <v>0</v>
      </c>
      <c r="R88" s="102"/>
      <c r="S88" s="112">
        <f t="shared" si="21"/>
        <v>0</v>
      </c>
      <c r="U88" s="102">
        <v>0</v>
      </c>
      <c r="V88" s="112">
        <f t="shared" si="22"/>
        <v>0</v>
      </c>
      <c r="X88" s="102"/>
      <c r="Y88" s="112">
        <f t="shared" si="23"/>
        <v>0</v>
      </c>
      <c r="AA88" s="102"/>
      <c r="AB88" s="112">
        <f t="shared" si="24"/>
        <v>0</v>
      </c>
      <c r="AD88" s="102"/>
      <c r="AE88" s="112">
        <f t="shared" si="25"/>
        <v>0</v>
      </c>
      <c r="AG88" s="102"/>
      <c r="AH88" s="112">
        <f t="shared" si="26"/>
        <v>0</v>
      </c>
    </row>
    <row r="89" spans="3:34" x14ac:dyDescent="0.2">
      <c r="C89" s="52" t="str">
        <f>'MP Calculations'!D116</f>
        <v>2072-73</v>
      </c>
      <c r="D89" s="99">
        <f t="shared" si="19"/>
        <v>0</v>
      </c>
      <c r="F89" s="102">
        <v>0</v>
      </c>
      <c r="G89" s="112">
        <f t="shared" si="27"/>
        <v>0</v>
      </c>
      <c r="I89" s="102">
        <v>0</v>
      </c>
      <c r="J89" s="207">
        <f t="shared" si="28"/>
        <v>0</v>
      </c>
      <c r="L89" s="102"/>
      <c r="M89" s="61">
        <f t="shared" si="29"/>
        <v>0</v>
      </c>
      <c r="O89" s="102"/>
      <c r="P89" s="112">
        <f t="shared" si="20"/>
        <v>0</v>
      </c>
      <c r="R89" s="102"/>
      <c r="S89" s="112">
        <f t="shared" si="21"/>
        <v>0</v>
      </c>
      <c r="U89" s="102">
        <v>0</v>
      </c>
      <c r="V89" s="112">
        <f t="shared" si="22"/>
        <v>0</v>
      </c>
      <c r="X89" s="102"/>
      <c r="Y89" s="112">
        <f t="shared" si="23"/>
        <v>0</v>
      </c>
      <c r="AA89" s="102"/>
      <c r="AB89" s="112">
        <f t="shared" si="24"/>
        <v>0</v>
      </c>
      <c r="AD89" s="102"/>
      <c r="AE89" s="112">
        <f t="shared" si="25"/>
        <v>0</v>
      </c>
      <c r="AG89" s="102"/>
      <c r="AH89" s="112">
        <f t="shared" si="26"/>
        <v>0</v>
      </c>
    </row>
    <row r="90" spans="3:34" x14ac:dyDescent="0.2">
      <c r="C90" s="52" t="str">
        <f>'MP Calculations'!D117</f>
        <v>2073-74</v>
      </c>
      <c r="D90" s="99">
        <f t="shared" si="19"/>
        <v>0</v>
      </c>
      <c r="F90" s="102">
        <v>0</v>
      </c>
      <c r="G90" s="112">
        <f t="shared" si="27"/>
        <v>0</v>
      </c>
      <c r="I90" s="102">
        <v>0</v>
      </c>
      <c r="J90" s="207">
        <f t="shared" si="28"/>
        <v>0</v>
      </c>
      <c r="L90" s="102"/>
      <c r="M90" s="61">
        <f t="shared" si="29"/>
        <v>0</v>
      </c>
      <c r="O90" s="102"/>
      <c r="P90" s="112">
        <f t="shared" si="20"/>
        <v>0</v>
      </c>
      <c r="R90" s="102"/>
      <c r="S90" s="112">
        <f t="shared" si="21"/>
        <v>0</v>
      </c>
      <c r="U90" s="102">
        <v>0</v>
      </c>
      <c r="V90" s="112">
        <f t="shared" si="22"/>
        <v>0</v>
      </c>
      <c r="X90" s="102"/>
      <c r="Y90" s="112">
        <f t="shared" si="23"/>
        <v>0</v>
      </c>
      <c r="AA90" s="102"/>
      <c r="AB90" s="112">
        <f t="shared" si="24"/>
        <v>0</v>
      </c>
      <c r="AD90" s="102"/>
      <c r="AE90" s="112">
        <f t="shared" si="25"/>
        <v>0</v>
      </c>
      <c r="AG90" s="102"/>
      <c r="AH90" s="112">
        <f t="shared" si="26"/>
        <v>0</v>
      </c>
    </row>
    <row r="91" spans="3:34" x14ac:dyDescent="0.2">
      <c r="C91" s="52" t="str">
        <f>'MP Calculations'!D118</f>
        <v>2074-75</v>
      </c>
      <c r="D91" s="99">
        <f t="shared" si="19"/>
        <v>0</v>
      </c>
      <c r="F91" s="102">
        <v>0</v>
      </c>
      <c r="G91" s="112">
        <f t="shared" si="27"/>
        <v>0</v>
      </c>
      <c r="I91" s="102">
        <v>0</v>
      </c>
      <c r="J91" s="207">
        <f t="shared" si="28"/>
        <v>0</v>
      </c>
      <c r="L91" s="102"/>
      <c r="M91" s="61">
        <f t="shared" si="29"/>
        <v>0</v>
      </c>
      <c r="O91" s="102"/>
      <c r="P91" s="112">
        <f t="shared" si="20"/>
        <v>0</v>
      </c>
      <c r="R91" s="102"/>
      <c r="S91" s="112">
        <f t="shared" si="21"/>
        <v>0</v>
      </c>
      <c r="U91" s="102">
        <v>0</v>
      </c>
      <c r="V91" s="112">
        <f t="shared" si="22"/>
        <v>0</v>
      </c>
      <c r="X91" s="102"/>
      <c r="Y91" s="112">
        <f t="shared" si="23"/>
        <v>0</v>
      </c>
      <c r="AA91" s="102"/>
      <c r="AB91" s="112">
        <f t="shared" si="24"/>
        <v>0</v>
      </c>
      <c r="AD91" s="102"/>
      <c r="AE91" s="112">
        <f t="shared" si="25"/>
        <v>0</v>
      </c>
      <c r="AG91" s="102"/>
      <c r="AH91" s="112">
        <f t="shared" si="26"/>
        <v>0</v>
      </c>
    </row>
    <row r="92" spans="3:34" x14ac:dyDescent="0.2">
      <c r="C92" s="52" t="str">
        <f>'MP Calculations'!D119</f>
        <v>2075-76</v>
      </c>
      <c r="D92" s="99">
        <f t="shared" si="19"/>
        <v>0</v>
      </c>
      <c r="F92" s="102">
        <v>0</v>
      </c>
      <c r="G92" s="112">
        <f t="shared" si="27"/>
        <v>0</v>
      </c>
      <c r="I92" s="102">
        <v>0</v>
      </c>
      <c r="J92" s="207">
        <f t="shared" si="28"/>
        <v>0</v>
      </c>
      <c r="L92" s="102"/>
      <c r="M92" s="61">
        <f t="shared" si="29"/>
        <v>0</v>
      </c>
      <c r="O92" s="102"/>
      <c r="P92" s="112">
        <f t="shared" si="20"/>
        <v>0</v>
      </c>
      <c r="R92" s="102"/>
      <c r="S92" s="112">
        <f t="shared" si="21"/>
        <v>0</v>
      </c>
      <c r="U92" s="102">
        <v>0</v>
      </c>
      <c r="V92" s="112">
        <f t="shared" si="22"/>
        <v>0</v>
      </c>
      <c r="X92" s="102"/>
      <c r="Y92" s="112">
        <f t="shared" si="23"/>
        <v>0</v>
      </c>
      <c r="AA92" s="102"/>
      <c r="AB92" s="112">
        <f t="shared" si="24"/>
        <v>0</v>
      </c>
      <c r="AD92" s="102"/>
      <c r="AE92" s="112">
        <f t="shared" si="25"/>
        <v>0</v>
      </c>
      <c r="AG92" s="102"/>
      <c r="AH92" s="112">
        <f t="shared" si="26"/>
        <v>0</v>
      </c>
    </row>
    <row r="93" spans="3:34" x14ac:dyDescent="0.2">
      <c r="C93" s="52" t="str">
        <f>'MP Calculations'!D120</f>
        <v>2076-77</v>
      </c>
      <c r="D93" s="99">
        <f t="shared" si="19"/>
        <v>0</v>
      </c>
      <c r="F93" s="102">
        <v>0</v>
      </c>
      <c r="G93" s="112">
        <f t="shared" si="27"/>
        <v>0</v>
      </c>
      <c r="I93" s="102">
        <v>0</v>
      </c>
      <c r="J93" s="207">
        <f t="shared" si="28"/>
        <v>0</v>
      </c>
      <c r="L93" s="102"/>
      <c r="M93" s="61">
        <f t="shared" si="29"/>
        <v>0</v>
      </c>
      <c r="O93" s="102"/>
      <c r="P93" s="112">
        <f t="shared" si="20"/>
        <v>0</v>
      </c>
      <c r="R93" s="102"/>
      <c r="S93" s="112">
        <f t="shared" si="21"/>
        <v>0</v>
      </c>
      <c r="U93" s="102">
        <v>0</v>
      </c>
      <c r="V93" s="112">
        <f t="shared" si="22"/>
        <v>0</v>
      </c>
      <c r="X93" s="102"/>
      <c r="Y93" s="112">
        <f t="shared" si="23"/>
        <v>0</v>
      </c>
      <c r="AA93" s="102"/>
      <c r="AB93" s="112">
        <f t="shared" si="24"/>
        <v>0</v>
      </c>
      <c r="AD93" s="102"/>
      <c r="AE93" s="112">
        <f t="shared" si="25"/>
        <v>0</v>
      </c>
      <c r="AG93" s="102"/>
      <c r="AH93" s="112">
        <f t="shared" si="26"/>
        <v>0</v>
      </c>
    </row>
    <row r="94" spans="3:34" x14ac:dyDescent="0.2">
      <c r="C94" s="52" t="str">
        <f>'MP Calculations'!D121</f>
        <v>2077-78</v>
      </c>
      <c r="D94" s="99">
        <f t="shared" si="19"/>
        <v>0</v>
      </c>
      <c r="F94" s="102">
        <v>0</v>
      </c>
      <c r="G94" s="112">
        <f t="shared" si="27"/>
        <v>0</v>
      </c>
      <c r="I94" s="102">
        <v>0</v>
      </c>
      <c r="J94" s="207">
        <f t="shared" si="28"/>
        <v>0</v>
      </c>
      <c r="L94" s="102"/>
      <c r="M94" s="61">
        <f t="shared" si="29"/>
        <v>0</v>
      </c>
      <c r="O94" s="102"/>
      <c r="P94" s="112">
        <f t="shared" si="20"/>
        <v>0</v>
      </c>
      <c r="R94" s="102"/>
      <c r="S94" s="112">
        <f t="shared" si="21"/>
        <v>0</v>
      </c>
      <c r="U94" s="102">
        <v>0</v>
      </c>
      <c r="V94" s="112">
        <f t="shared" si="22"/>
        <v>0</v>
      </c>
      <c r="X94" s="102"/>
      <c r="Y94" s="112">
        <f t="shared" si="23"/>
        <v>0</v>
      </c>
      <c r="AA94" s="102"/>
      <c r="AB94" s="112">
        <f t="shared" si="24"/>
        <v>0</v>
      </c>
      <c r="AD94" s="102"/>
      <c r="AE94" s="112">
        <f t="shared" si="25"/>
        <v>0</v>
      </c>
      <c r="AG94" s="102"/>
      <c r="AH94" s="112">
        <f t="shared" si="26"/>
        <v>0</v>
      </c>
    </row>
    <row r="95" spans="3:34" x14ac:dyDescent="0.2">
      <c r="C95" s="52" t="str">
        <f>'MP Calculations'!D122</f>
        <v>2078-79</v>
      </c>
      <c r="D95" s="99">
        <f t="shared" si="19"/>
        <v>0</v>
      </c>
      <c r="F95" s="102">
        <v>0</v>
      </c>
      <c r="G95" s="112">
        <f t="shared" si="27"/>
        <v>0</v>
      </c>
      <c r="I95" s="102">
        <v>0</v>
      </c>
      <c r="J95" s="207">
        <f t="shared" si="28"/>
        <v>0</v>
      </c>
      <c r="L95" s="102"/>
      <c r="M95" s="61">
        <f t="shared" si="29"/>
        <v>0</v>
      </c>
      <c r="O95" s="102"/>
      <c r="P95" s="112">
        <f t="shared" si="20"/>
        <v>0</v>
      </c>
      <c r="R95" s="102"/>
      <c r="S95" s="112">
        <f t="shared" si="21"/>
        <v>0</v>
      </c>
      <c r="U95" s="102">
        <v>0</v>
      </c>
      <c r="V95" s="112">
        <f t="shared" si="22"/>
        <v>0</v>
      </c>
      <c r="X95" s="102"/>
      <c r="Y95" s="112">
        <f t="shared" si="23"/>
        <v>0</v>
      </c>
      <c r="AA95" s="102"/>
      <c r="AB95" s="112">
        <f t="shared" si="24"/>
        <v>0</v>
      </c>
      <c r="AD95" s="102"/>
      <c r="AE95" s="112">
        <f t="shared" si="25"/>
        <v>0</v>
      </c>
      <c r="AG95" s="102"/>
      <c r="AH95" s="112">
        <f t="shared" si="26"/>
        <v>0</v>
      </c>
    </row>
    <row r="96" spans="3:34" x14ac:dyDescent="0.2">
      <c r="C96" s="52" t="str">
        <f>'MP Calculations'!D123</f>
        <v>2079-80</v>
      </c>
      <c r="D96" s="99">
        <f t="shared" si="19"/>
        <v>0</v>
      </c>
      <c r="F96" s="102">
        <v>0</v>
      </c>
      <c r="G96" s="112">
        <f t="shared" si="27"/>
        <v>0</v>
      </c>
      <c r="I96" s="102">
        <v>0</v>
      </c>
      <c r="J96" s="207">
        <f t="shared" si="28"/>
        <v>0</v>
      </c>
      <c r="L96" s="102"/>
      <c r="M96" s="61">
        <f t="shared" si="29"/>
        <v>0</v>
      </c>
      <c r="O96" s="102"/>
      <c r="P96" s="112">
        <f t="shared" si="20"/>
        <v>0</v>
      </c>
      <c r="R96" s="102"/>
      <c r="S96" s="112">
        <f t="shared" si="21"/>
        <v>0</v>
      </c>
      <c r="U96" s="102">
        <v>0</v>
      </c>
      <c r="V96" s="112">
        <f t="shared" si="22"/>
        <v>0</v>
      </c>
      <c r="X96" s="102"/>
      <c r="Y96" s="112">
        <f t="shared" si="23"/>
        <v>0</v>
      </c>
      <c r="AA96" s="102"/>
      <c r="AB96" s="112">
        <f t="shared" si="24"/>
        <v>0</v>
      </c>
      <c r="AD96" s="102"/>
      <c r="AE96" s="112">
        <f t="shared" si="25"/>
        <v>0</v>
      </c>
      <c r="AG96" s="102"/>
      <c r="AH96" s="112">
        <f t="shared" si="26"/>
        <v>0</v>
      </c>
    </row>
    <row r="97" spans="3:34" x14ac:dyDescent="0.2">
      <c r="C97" s="52" t="str">
        <f>'MP Calculations'!D124</f>
        <v>2080-81</v>
      </c>
      <c r="D97" s="99">
        <f t="shared" si="19"/>
        <v>0</v>
      </c>
      <c r="F97" s="102">
        <v>0</v>
      </c>
      <c r="G97" s="112">
        <f t="shared" si="27"/>
        <v>0</v>
      </c>
      <c r="I97" s="102">
        <v>0</v>
      </c>
      <c r="J97" s="207">
        <f t="shared" si="28"/>
        <v>0</v>
      </c>
      <c r="L97" s="102"/>
      <c r="M97" s="61">
        <f t="shared" si="29"/>
        <v>0</v>
      </c>
      <c r="O97" s="102"/>
      <c r="P97" s="112">
        <f t="shared" si="20"/>
        <v>0</v>
      </c>
      <c r="R97" s="102"/>
      <c r="S97" s="112">
        <f t="shared" si="21"/>
        <v>0</v>
      </c>
      <c r="U97" s="102">
        <v>0</v>
      </c>
      <c r="V97" s="112">
        <f t="shared" si="22"/>
        <v>0</v>
      </c>
      <c r="X97" s="102"/>
      <c r="Y97" s="112">
        <f t="shared" si="23"/>
        <v>0</v>
      </c>
      <c r="AA97" s="102"/>
      <c r="AB97" s="112">
        <f t="shared" si="24"/>
        <v>0</v>
      </c>
      <c r="AD97" s="102"/>
      <c r="AE97" s="112">
        <f t="shared" si="25"/>
        <v>0</v>
      </c>
      <c r="AG97" s="102"/>
      <c r="AH97" s="112">
        <f t="shared" si="26"/>
        <v>0</v>
      </c>
    </row>
    <row r="98" spans="3:34" x14ac:dyDescent="0.2">
      <c r="C98" s="52" t="str">
        <f>'MP Calculations'!D125</f>
        <v>2081-82</v>
      </c>
      <c r="D98" s="99">
        <f t="shared" si="19"/>
        <v>0</v>
      </c>
      <c r="F98" s="102">
        <v>0</v>
      </c>
      <c r="G98" s="112">
        <f t="shared" si="27"/>
        <v>0</v>
      </c>
      <c r="I98" s="102">
        <v>0</v>
      </c>
      <c r="J98" s="207">
        <f t="shared" si="28"/>
        <v>0</v>
      </c>
      <c r="L98" s="102"/>
      <c r="M98" s="61">
        <f t="shared" si="29"/>
        <v>0</v>
      </c>
      <c r="O98" s="102"/>
      <c r="P98" s="112">
        <f t="shared" si="20"/>
        <v>0</v>
      </c>
      <c r="R98" s="102"/>
      <c r="S98" s="112">
        <f t="shared" si="21"/>
        <v>0</v>
      </c>
      <c r="U98" s="102">
        <v>0</v>
      </c>
      <c r="V98" s="112">
        <f t="shared" si="22"/>
        <v>0</v>
      </c>
      <c r="X98" s="102"/>
      <c r="Y98" s="112">
        <f t="shared" si="23"/>
        <v>0</v>
      </c>
      <c r="AA98" s="102"/>
      <c r="AB98" s="112">
        <f t="shared" si="24"/>
        <v>0</v>
      </c>
      <c r="AD98" s="102"/>
      <c r="AE98" s="112">
        <f t="shared" si="25"/>
        <v>0</v>
      </c>
      <c r="AG98" s="102"/>
      <c r="AH98" s="112">
        <f t="shared" si="26"/>
        <v>0</v>
      </c>
    </row>
    <row r="99" spans="3:34" x14ac:dyDescent="0.2">
      <c r="C99" s="52" t="str">
        <f>'MP Calculations'!D126</f>
        <v>2082-83</v>
      </c>
      <c r="D99" s="99">
        <f t="shared" si="19"/>
        <v>0</v>
      </c>
      <c r="F99" s="102">
        <v>0</v>
      </c>
      <c r="G99" s="112">
        <f t="shared" si="27"/>
        <v>0</v>
      </c>
      <c r="I99" s="102">
        <v>0</v>
      </c>
      <c r="J99" s="207">
        <f t="shared" si="28"/>
        <v>0</v>
      </c>
      <c r="L99" s="102"/>
      <c r="M99" s="61">
        <f t="shared" si="29"/>
        <v>0</v>
      </c>
      <c r="O99" s="102"/>
      <c r="P99" s="112">
        <f t="shared" si="20"/>
        <v>0</v>
      </c>
      <c r="R99" s="102"/>
      <c r="S99" s="112">
        <f t="shared" si="21"/>
        <v>0</v>
      </c>
      <c r="U99" s="102">
        <v>0</v>
      </c>
      <c r="V99" s="112">
        <f t="shared" si="22"/>
        <v>0</v>
      </c>
      <c r="X99" s="102"/>
      <c r="Y99" s="112">
        <f t="shared" si="23"/>
        <v>0</v>
      </c>
      <c r="AA99" s="102"/>
      <c r="AB99" s="112">
        <f t="shared" si="24"/>
        <v>0</v>
      </c>
      <c r="AD99" s="102"/>
      <c r="AE99" s="112">
        <f t="shared" si="25"/>
        <v>0</v>
      </c>
      <c r="AG99" s="102"/>
      <c r="AH99" s="112">
        <f t="shared" si="26"/>
        <v>0</v>
      </c>
    </row>
    <row r="100" spans="3:34" x14ac:dyDescent="0.2">
      <c r="C100" s="52" t="str">
        <f>'MP Calculations'!D127</f>
        <v>2083-84</v>
      </c>
      <c r="D100" s="99">
        <f t="shared" si="19"/>
        <v>0</v>
      </c>
      <c r="F100" s="102">
        <v>0</v>
      </c>
      <c r="G100" s="112">
        <f t="shared" si="27"/>
        <v>0</v>
      </c>
      <c r="I100" s="102">
        <v>0</v>
      </c>
      <c r="J100" s="207">
        <f t="shared" si="28"/>
        <v>0</v>
      </c>
      <c r="L100" s="102"/>
      <c r="M100" s="61">
        <f t="shared" si="29"/>
        <v>0</v>
      </c>
      <c r="O100" s="102"/>
      <c r="P100" s="112">
        <f t="shared" si="20"/>
        <v>0</v>
      </c>
      <c r="R100" s="102"/>
      <c r="S100" s="112">
        <f t="shared" si="21"/>
        <v>0</v>
      </c>
      <c r="U100" s="102">
        <v>0</v>
      </c>
      <c r="V100" s="112">
        <f t="shared" si="22"/>
        <v>0</v>
      </c>
      <c r="X100" s="102"/>
      <c r="Y100" s="112">
        <f t="shared" si="23"/>
        <v>0</v>
      </c>
      <c r="AA100" s="102"/>
      <c r="AB100" s="112">
        <f t="shared" si="24"/>
        <v>0</v>
      </c>
      <c r="AD100" s="102"/>
      <c r="AE100" s="112">
        <f t="shared" si="25"/>
        <v>0</v>
      </c>
      <c r="AG100" s="102"/>
      <c r="AH100" s="112">
        <f t="shared" si="26"/>
        <v>0</v>
      </c>
    </row>
    <row r="101" spans="3:34" x14ac:dyDescent="0.2">
      <c r="C101" s="52" t="str">
        <f>'MP Calculations'!D128</f>
        <v>2084-85</v>
      </c>
      <c r="D101" s="99">
        <f t="shared" si="19"/>
        <v>0</v>
      </c>
      <c r="F101" s="102">
        <v>0</v>
      </c>
      <c r="G101" s="112">
        <f t="shared" si="27"/>
        <v>0</v>
      </c>
      <c r="I101" s="102">
        <v>0</v>
      </c>
      <c r="J101" s="207">
        <f t="shared" si="28"/>
        <v>0</v>
      </c>
      <c r="L101" s="102"/>
      <c r="M101" s="61">
        <f t="shared" si="29"/>
        <v>0</v>
      </c>
      <c r="O101" s="102"/>
      <c r="P101" s="112">
        <f t="shared" si="20"/>
        <v>0</v>
      </c>
      <c r="R101" s="102"/>
      <c r="S101" s="112">
        <f t="shared" si="21"/>
        <v>0</v>
      </c>
      <c r="U101" s="102">
        <v>0</v>
      </c>
      <c r="V101" s="112">
        <f t="shared" si="22"/>
        <v>0</v>
      </c>
      <c r="X101" s="102"/>
      <c r="Y101" s="112">
        <f t="shared" si="23"/>
        <v>0</v>
      </c>
      <c r="AA101" s="102"/>
      <c r="AB101" s="112">
        <f t="shared" si="24"/>
        <v>0</v>
      </c>
      <c r="AD101" s="102"/>
      <c r="AE101" s="112">
        <f t="shared" si="25"/>
        <v>0</v>
      </c>
      <c r="AG101" s="102"/>
      <c r="AH101" s="112">
        <f t="shared" si="26"/>
        <v>0</v>
      </c>
    </row>
    <row r="102" spans="3:34" x14ac:dyDescent="0.2">
      <c r="C102" s="52" t="str">
        <f>'MP Calculations'!D129</f>
        <v>2085-86</v>
      </c>
      <c r="D102" s="99">
        <f t="shared" si="19"/>
        <v>0</v>
      </c>
      <c r="F102" s="102">
        <v>0</v>
      </c>
      <c r="G102" s="112">
        <f t="shared" si="27"/>
        <v>0</v>
      </c>
      <c r="I102" s="102">
        <v>0</v>
      </c>
      <c r="J102" s="207">
        <f t="shared" si="28"/>
        <v>0</v>
      </c>
      <c r="L102" s="102"/>
      <c r="M102" s="61">
        <f t="shared" si="29"/>
        <v>0</v>
      </c>
      <c r="O102" s="102"/>
      <c r="P102" s="112">
        <f t="shared" si="20"/>
        <v>0</v>
      </c>
      <c r="R102" s="102"/>
      <c r="S102" s="112">
        <f t="shared" si="21"/>
        <v>0</v>
      </c>
      <c r="U102" s="102">
        <v>0</v>
      </c>
      <c r="V102" s="112">
        <f t="shared" si="22"/>
        <v>0</v>
      </c>
      <c r="X102" s="102"/>
      <c r="Y102" s="112">
        <f t="shared" si="23"/>
        <v>0</v>
      </c>
      <c r="AA102" s="102"/>
      <c r="AB102" s="112">
        <f t="shared" si="24"/>
        <v>0</v>
      </c>
      <c r="AD102" s="102"/>
      <c r="AE102" s="112">
        <f t="shared" si="25"/>
        <v>0</v>
      </c>
      <c r="AG102" s="102"/>
      <c r="AH102" s="112">
        <f t="shared" si="26"/>
        <v>0</v>
      </c>
    </row>
    <row r="103" spans="3:34" x14ac:dyDescent="0.2">
      <c r="D103" s="114"/>
      <c r="F103" s="114"/>
      <c r="G103" s="114"/>
      <c r="I103" s="114"/>
      <c r="J103" s="64"/>
      <c r="L103" s="114"/>
      <c r="M103" s="64"/>
      <c r="O103" s="114"/>
      <c r="P103" s="114"/>
      <c r="R103" s="114"/>
      <c r="S103" s="114"/>
      <c r="U103" s="114"/>
      <c r="V103" s="114"/>
      <c r="X103" s="114"/>
      <c r="Y103" s="114"/>
      <c r="AA103" s="114"/>
      <c r="AB103" s="114"/>
      <c r="AD103" s="114"/>
      <c r="AE103" s="114"/>
      <c r="AG103" s="114"/>
      <c r="AH103" s="114"/>
    </row>
  </sheetData>
  <sheetProtection algorithmName="SHA-512" hashValue="p1WETj9A314VdNFFCINqoNNK7bePInnLhof1YtxpWMwRtGgQqHK7IGURDx+E+mJHdep2CxsmCQlhA5VNdu5Hgw==" saltValue="VKfKgxAtchdDhVZg01fJWg==" spinCount="100000" sheet="1" objects="1" scenarios="1"/>
  <mergeCells count="8">
    <mergeCell ref="AD8:AE8"/>
    <mergeCell ref="AG8:AH8"/>
    <mergeCell ref="L8:M8"/>
    <mergeCell ref="O8:P8"/>
    <mergeCell ref="R8:S8"/>
    <mergeCell ref="U8:V8"/>
    <mergeCell ref="X8:Y8"/>
    <mergeCell ref="AA8:AB8"/>
  </mergeCells>
  <dataValidations count="1">
    <dataValidation type="list" allowBlank="1" showInputMessage="1" showErrorMessage="1" sqref="O9 R9 U9 X9 AA9 AD9 AG9 L9" xr:uid="{00000000-0002-0000-0800-000000000000}">
      <formula1>$AJ$12:$AJ$19</formula1>
    </dataValidation>
  </dataValidations>
  <pageMargins left="0.7" right="0.7" top="0.75" bottom="0.75" header="0.3" footer="0.3"/>
  <pageSetup paperSize="9" orientation="portrait" horizontalDpi="200" verticalDpi="200" r:id="rId1"/>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60" id="{9AED8FE6-1E3F-40FA-BC8D-6814ADDD04B9}">
            <xm:f>LEFT($C12,4)*1&gt;LEFT('General inputs'!$I$16,4)+'General inputs'!$H$38-1</xm:f>
            <x14:dxf>
              <fill>
                <patternFill>
                  <bgColor rgb="FFDDDDDD"/>
                </patternFill>
              </fill>
            </x14:dxf>
          </x14:cfRule>
          <xm:sqref>D12:D102</xm:sqref>
        </x14:conditionalFormatting>
        <x14:conditionalFormatting xmlns:xm="http://schemas.microsoft.com/office/excel/2006/main">
          <x14:cfRule type="expression" priority="49" id="{95E9D61C-41DD-450B-B9C3-0D029F26CA69}">
            <xm:f>LEFT($C12,4)*1&gt;LEFT('General inputs'!$I$16,4)*1+'General inputs'!$H$38-1</xm:f>
            <x14:dxf>
              <fill>
                <patternFill>
                  <bgColor rgb="FFDDDDDD"/>
                </patternFill>
              </fill>
            </x14:dxf>
          </x14:cfRule>
          <xm:sqref>F12:F102 I12:I102 L12:L102 O12:O102 R12:R102 U12:U102 X12:X102 AA12:AA102 AD12:AD102 AG12:AG102</xm:sqref>
        </x14:conditionalFormatting>
      </x14:conditionalFormatting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theme="7" tint="0.79998168889431442"/>
  </sheetPr>
  <dimension ref="C1:R55"/>
  <sheetViews>
    <sheetView showGridLines="0" topLeftCell="A11" zoomScaleNormal="100" workbookViewId="0">
      <pane ySplit="11" topLeftCell="A22" activePane="bottomLeft" state="frozen"/>
      <selection activeCell="A11" sqref="A11"/>
      <selection pane="bottomLeft" activeCell="D44" sqref="D44"/>
    </sheetView>
  </sheetViews>
  <sheetFormatPr defaultRowHeight="11.4" x14ac:dyDescent="0.2"/>
  <cols>
    <col min="1" max="2" width="2.75" style="39" customWidth="1"/>
    <col min="3" max="3" width="15.75" style="39" customWidth="1"/>
    <col min="4" max="4" width="49.75" style="39" customWidth="1"/>
    <col min="5" max="5" width="15.75" style="39" customWidth="1"/>
    <col min="6" max="6" width="25.875" style="39" bestFit="1" customWidth="1"/>
    <col min="7" max="7" width="2.75" style="39" customWidth="1"/>
    <col min="8" max="10" width="15.75" style="39" customWidth="1"/>
    <col min="11" max="11" width="2.75" style="39" customWidth="1"/>
    <col min="12" max="13" width="15.75" style="39" hidden="1" customWidth="1"/>
    <col min="14" max="14" width="18" style="39" hidden="1" customWidth="1"/>
    <col min="15" max="16" width="15.75" style="39" customWidth="1"/>
    <col min="17" max="17" width="9" style="39"/>
    <col min="18" max="18" width="9.125" style="39" customWidth="1"/>
    <col min="19" max="16384" width="9" style="39"/>
  </cols>
  <sheetData>
    <row r="1" spans="3:6" x14ac:dyDescent="0.2">
      <c r="E1" s="127"/>
    </row>
    <row r="2" spans="3:6" x14ac:dyDescent="0.2">
      <c r="E2" s="127"/>
      <c r="F2" s="127"/>
    </row>
    <row r="3" spans="3:6" ht="21" x14ac:dyDescent="0.4">
      <c r="C3" s="54" t="s">
        <v>605</v>
      </c>
    </row>
    <row r="6" spans="3:6" ht="12" customHeight="1" x14ac:dyDescent="0.25">
      <c r="C6" s="128" t="str">
        <f ca="1">"Consideration must be given to the principles regarding asset exclusions presented on the '"&amp;MID(CELL("filename",'Asset exclusions'!A1),FIND("]",CELL("filename",'Asset exclusions'!A1))+1,255)&amp;"' worksheet before they are entered into the register."</f>
        <v>Consideration must be given to the principles regarding asset exclusions presented on the 'Asset exclusions' worksheet before they are entered into the register.</v>
      </c>
    </row>
    <row r="7" spans="3:6" ht="12" x14ac:dyDescent="0.25">
      <c r="C7" s="65" t="str">
        <f ca="1">"Hyperlink to the '"&amp;MID(CELL("filename",'Asset exclusions'!A1),FIND("]",CELL("filename",'Asset exclusions'!A1))+1,255)&amp;"' worksheet:"</f>
        <v>Hyperlink to the 'Asset exclusions' worksheet:</v>
      </c>
      <c r="E7" s="129" t="s">
        <v>168</v>
      </c>
    </row>
    <row r="8" spans="3:6" ht="12" x14ac:dyDescent="0.25">
      <c r="C8" s="65"/>
      <c r="E8" s="129"/>
    </row>
    <row r="9" spans="3:6" ht="12" x14ac:dyDescent="0.25">
      <c r="C9" s="65" t="s">
        <v>169</v>
      </c>
      <c r="E9" s="129"/>
    </row>
    <row r="10" spans="3:6" ht="12" x14ac:dyDescent="0.25">
      <c r="C10" s="65" t="s">
        <v>170</v>
      </c>
      <c r="E10" s="129"/>
    </row>
    <row r="11" spans="3:6" ht="12" x14ac:dyDescent="0.25">
      <c r="C11" s="65" t="s">
        <v>171</v>
      </c>
      <c r="E11" s="129"/>
    </row>
    <row r="12" spans="3:6" ht="12" x14ac:dyDescent="0.25">
      <c r="C12" s="65" t="s">
        <v>172</v>
      </c>
      <c r="E12" s="129"/>
    </row>
    <row r="14" spans="3:6" ht="12" x14ac:dyDescent="0.25">
      <c r="C14" s="73" t="s">
        <v>173</v>
      </c>
    </row>
    <row r="15" spans="3:6" x14ac:dyDescent="0.2">
      <c r="C15" s="121" t="s">
        <v>174</v>
      </c>
      <c r="E15" s="208">
        <f>'General inputs'!$H$18+1</f>
        <v>45839</v>
      </c>
    </row>
    <row r="16" spans="3:6" x14ac:dyDescent="0.2">
      <c r="C16" s="121"/>
    </row>
    <row r="18" spans="3:18" ht="15.6" x14ac:dyDescent="0.3">
      <c r="C18" s="55" t="s">
        <v>606</v>
      </c>
    </row>
    <row r="20" spans="3:18" ht="12" x14ac:dyDescent="0.25">
      <c r="C20" s="73" t="s">
        <v>177</v>
      </c>
      <c r="H20" s="73" t="s">
        <v>178</v>
      </c>
      <c r="L20" s="73" t="s">
        <v>179</v>
      </c>
      <c r="M20" s="73"/>
    </row>
    <row r="21" spans="3:18" ht="45.6" x14ac:dyDescent="0.2">
      <c r="C21" s="97" t="s">
        <v>180</v>
      </c>
      <c r="D21" s="97" t="s">
        <v>181</v>
      </c>
      <c r="E21" s="97" t="s">
        <v>182</v>
      </c>
      <c r="F21" s="97" t="s">
        <v>247</v>
      </c>
      <c r="H21" s="133" t="s">
        <v>184</v>
      </c>
      <c r="I21" s="133" t="s">
        <v>185</v>
      </c>
      <c r="J21" s="133" t="s">
        <v>186</v>
      </c>
      <c r="L21" s="97" t="s">
        <v>187</v>
      </c>
      <c r="M21" s="97" t="s">
        <v>188</v>
      </c>
      <c r="N21" s="97" t="str">
        <f>"MEERA value per unit/measure of length (B) 
("&amp;'General inputs'!$H$42&amp;" as at 1 July "&amp;LEFT('General inputs'!$I$40,4)&amp;")"</f>
        <v>MEERA value per unit/measure of length (B) 
($ as at 1 July 2025)</v>
      </c>
      <c r="O21" s="133" t="str">
        <f>"Total MEERA value (A x B)
("&amp;'General inputs'!$H$42&amp;", $"&amp;'General inputs'!$I$40&amp;")"</f>
        <v>Total MEERA value (A x B)
($, $2025-26)</v>
      </c>
      <c r="P21" s="97" t="str">
        <f>"MEERA value to be recovered via DSP ("&amp;'General inputs'!$H$42&amp;", $"&amp;'General inputs'!$I$40&amp;")"</f>
        <v>MEERA value to be recovered via DSP ($, $2025-26)</v>
      </c>
    </row>
    <row r="22" spans="3:18" ht="12" customHeight="1" x14ac:dyDescent="0.2">
      <c r="C22" s="209"/>
      <c r="D22" s="210" t="s">
        <v>607</v>
      </c>
      <c r="E22" s="211">
        <v>47300</v>
      </c>
      <c r="F22" s="212" t="str">
        <f>IF(E22="","-",IF(E22&lt;$E$15,"ERROR - date outside of range",IF(MONTH(E22)&gt;=7,YEAR(E22)&amp;"-"&amp;RIGHT(YEAR(E22),2)+1,YEAR(E22)-1&amp;"-"&amp;RIGHT(YEAR(E22),2))))</f>
        <v>2029-30</v>
      </c>
      <c r="H22" s="166" t="s">
        <v>190</v>
      </c>
      <c r="I22" s="167">
        <v>25184.239534746859</v>
      </c>
      <c r="J22" s="213">
        <v>1</v>
      </c>
      <c r="K22" s="47"/>
      <c r="L22" s="209"/>
      <c r="M22" s="209"/>
      <c r="N22" s="135"/>
      <c r="O22" s="214">
        <v>45271436.739974119</v>
      </c>
      <c r="P22" s="215">
        <f>IF(O22="-","-",IF(E22&lt;$E$15,0,O22*J22))</f>
        <v>45271436.739974119</v>
      </c>
    </row>
    <row r="23" spans="3:18" x14ac:dyDescent="0.2">
      <c r="C23" s="216"/>
      <c r="D23" s="210" t="s">
        <v>608</v>
      </c>
      <c r="E23" s="217">
        <v>46285</v>
      </c>
      <c r="F23" s="138" t="str">
        <f t="shared" ref="F23:F50" si="0">IF(E23="","-",IF(E23&lt;$E$15,"ERROR - date outside of range",IF(MONTH(E23)&gt;=7,YEAR(E23)&amp;"-"&amp;RIGHT(YEAR(E23),2)+1,YEAR(E23)-1&amp;"-"&amp;RIGHT(YEAR(E23),2))))</f>
        <v>2026-27</v>
      </c>
      <c r="H23" s="173" t="s">
        <v>190</v>
      </c>
      <c r="I23" s="174">
        <v>25184.239534746859</v>
      </c>
      <c r="J23" s="168">
        <v>1</v>
      </c>
      <c r="K23" s="47"/>
      <c r="L23" s="216"/>
      <c r="M23" s="216"/>
      <c r="N23" s="145"/>
      <c r="O23" s="218">
        <v>2388172.1216041395</v>
      </c>
      <c r="P23" s="219">
        <f t="shared" ref="P23:P50" si="1">IF(O23="-","-",IF(E23&lt;$E$15,0,O23*J23))</f>
        <v>2388172.1216041395</v>
      </c>
      <c r="R23" s="220"/>
    </row>
    <row r="24" spans="3:18" x14ac:dyDescent="0.2">
      <c r="C24" s="216"/>
      <c r="D24" s="210" t="s">
        <v>609</v>
      </c>
      <c r="E24" s="217">
        <v>46997</v>
      </c>
      <c r="F24" s="138" t="str">
        <f t="shared" si="0"/>
        <v>2028-29</v>
      </c>
      <c r="H24" s="173" t="s">
        <v>190</v>
      </c>
      <c r="I24" s="174">
        <v>25184.239534746859</v>
      </c>
      <c r="J24" s="168">
        <v>1</v>
      </c>
      <c r="K24" s="47"/>
      <c r="L24" s="216"/>
      <c r="M24" s="216"/>
      <c r="N24" s="145"/>
      <c r="O24" s="218">
        <v>83897524.96765846</v>
      </c>
      <c r="P24" s="219">
        <f t="shared" si="1"/>
        <v>83897524.96765846</v>
      </c>
    </row>
    <row r="25" spans="3:18" x14ac:dyDescent="0.2">
      <c r="C25" s="216"/>
      <c r="D25" s="210" t="s">
        <v>610</v>
      </c>
      <c r="E25" s="217">
        <v>46388</v>
      </c>
      <c r="F25" s="138" t="str">
        <f t="shared" si="0"/>
        <v>2026-27</v>
      </c>
      <c r="H25" s="173" t="s">
        <v>190</v>
      </c>
      <c r="I25" s="174">
        <v>25184.239534746859</v>
      </c>
      <c r="J25" s="168">
        <v>1</v>
      </c>
      <c r="K25" s="47"/>
      <c r="L25" s="216"/>
      <c r="M25" s="216"/>
      <c r="N25" s="145"/>
      <c r="O25" s="218">
        <v>1158782.6468305301</v>
      </c>
      <c r="P25" s="219">
        <f>IF(O25="-","-",IF(E25&lt;$E$15,0,O25*J25))</f>
        <v>1158782.6468305301</v>
      </c>
    </row>
    <row r="26" spans="3:18" x14ac:dyDescent="0.2">
      <c r="C26" s="216"/>
      <c r="D26" s="210" t="s">
        <v>611</v>
      </c>
      <c r="E26" s="217">
        <v>46388</v>
      </c>
      <c r="F26" s="138" t="str">
        <f t="shared" si="0"/>
        <v>2026-27</v>
      </c>
      <c r="H26" s="173" t="s">
        <v>190</v>
      </c>
      <c r="I26" s="174">
        <v>25184.239534746859</v>
      </c>
      <c r="J26" s="168">
        <v>1</v>
      </c>
      <c r="K26" s="47"/>
      <c r="L26" s="216"/>
      <c r="M26" s="216"/>
      <c r="N26" s="145"/>
      <c r="O26" s="218">
        <v>697761.59379042673</v>
      </c>
      <c r="P26" s="219">
        <f t="shared" si="1"/>
        <v>697761.59379042673</v>
      </c>
    </row>
    <row r="27" spans="3:18" x14ac:dyDescent="0.2">
      <c r="C27" s="216"/>
      <c r="D27" s="210" t="s">
        <v>612</v>
      </c>
      <c r="E27" s="217">
        <v>52413</v>
      </c>
      <c r="F27" s="138" t="str">
        <f t="shared" si="0"/>
        <v>2043-44</v>
      </c>
      <c r="H27" s="173" t="s">
        <v>190</v>
      </c>
      <c r="I27" s="174">
        <v>25184.239534746859</v>
      </c>
      <c r="J27" s="168">
        <v>1</v>
      </c>
      <c r="K27" s="47"/>
      <c r="L27" s="216"/>
      <c r="M27" s="216"/>
      <c r="N27" s="145"/>
      <c r="O27" s="214">
        <v>206.00580388098314</v>
      </c>
      <c r="P27" s="219">
        <f t="shared" si="1"/>
        <v>206.00580388098314</v>
      </c>
    </row>
    <row r="28" spans="3:18" x14ac:dyDescent="0.2">
      <c r="C28" s="216"/>
      <c r="D28" s="210" t="s">
        <v>613</v>
      </c>
      <c r="E28" s="217">
        <v>52413</v>
      </c>
      <c r="F28" s="138" t="str">
        <f t="shared" si="0"/>
        <v>2043-44</v>
      </c>
      <c r="H28" s="173" t="s">
        <v>190</v>
      </c>
      <c r="I28" s="174">
        <v>25184.239534746859</v>
      </c>
      <c r="J28" s="168">
        <v>1</v>
      </c>
      <c r="K28" s="47"/>
      <c r="L28" s="216"/>
      <c r="M28" s="216"/>
      <c r="N28" s="145"/>
      <c r="O28" s="214">
        <v>0</v>
      </c>
      <c r="P28" s="219">
        <f t="shared" si="1"/>
        <v>0</v>
      </c>
    </row>
    <row r="29" spans="3:18" x14ac:dyDescent="0.2">
      <c r="C29" s="216"/>
      <c r="D29" s="210" t="s">
        <v>612</v>
      </c>
      <c r="E29" s="217">
        <v>52779</v>
      </c>
      <c r="F29" s="138" t="str">
        <f t="shared" si="0"/>
        <v>2044-45</v>
      </c>
      <c r="H29" s="173" t="s">
        <v>190</v>
      </c>
      <c r="I29" s="174">
        <v>25184.239534746859</v>
      </c>
      <c r="J29" s="168">
        <v>1</v>
      </c>
      <c r="K29" s="47"/>
      <c r="L29" s="216"/>
      <c r="M29" s="216"/>
      <c r="N29" s="145"/>
      <c r="O29" s="214">
        <v>438053.58641235437</v>
      </c>
      <c r="P29" s="219">
        <f t="shared" si="1"/>
        <v>438053.58641235437</v>
      </c>
    </row>
    <row r="30" spans="3:18" x14ac:dyDescent="0.2">
      <c r="C30" s="216"/>
      <c r="D30" s="210" t="s">
        <v>613</v>
      </c>
      <c r="E30" s="217">
        <v>52779</v>
      </c>
      <c r="F30" s="138" t="str">
        <f t="shared" si="0"/>
        <v>2044-45</v>
      </c>
      <c r="H30" s="173" t="s">
        <v>190</v>
      </c>
      <c r="I30" s="174">
        <v>25184.239534746859</v>
      </c>
      <c r="J30" s="168">
        <v>1</v>
      </c>
      <c r="K30" s="47"/>
      <c r="L30" s="216"/>
      <c r="M30" s="216"/>
      <c r="N30" s="145"/>
      <c r="O30" s="214">
        <v>270947.16071662353</v>
      </c>
      <c r="P30" s="219">
        <f t="shared" si="1"/>
        <v>270947.16071662353</v>
      </c>
    </row>
    <row r="31" spans="3:18" x14ac:dyDescent="0.2">
      <c r="C31" s="216"/>
      <c r="D31" s="210" t="s">
        <v>612</v>
      </c>
      <c r="E31" s="217">
        <v>53144</v>
      </c>
      <c r="F31" s="138" t="str">
        <f t="shared" si="0"/>
        <v>2045-46</v>
      </c>
      <c r="H31" s="173" t="s">
        <v>190</v>
      </c>
      <c r="I31" s="174">
        <v>25184.239534746859</v>
      </c>
      <c r="J31" s="168">
        <v>1</v>
      </c>
      <c r="K31" s="47"/>
      <c r="L31" s="216"/>
      <c r="M31" s="216"/>
      <c r="N31" s="145"/>
      <c r="O31" s="214">
        <v>470551.31347529101</v>
      </c>
      <c r="P31" s="219">
        <f t="shared" si="1"/>
        <v>470551.31347529101</v>
      </c>
    </row>
    <row r="32" spans="3:18" x14ac:dyDescent="0.2">
      <c r="C32" s="216"/>
      <c r="D32" s="210" t="s">
        <v>613</v>
      </c>
      <c r="E32" s="217">
        <v>53144</v>
      </c>
      <c r="F32" s="138" t="str">
        <f t="shared" si="0"/>
        <v>2045-46</v>
      </c>
      <c r="H32" s="173" t="s">
        <v>190</v>
      </c>
      <c r="I32" s="174">
        <v>25184.239534746859</v>
      </c>
      <c r="J32" s="168">
        <v>1</v>
      </c>
      <c r="K32" s="47"/>
      <c r="L32" s="216"/>
      <c r="M32" s="216"/>
      <c r="N32" s="145"/>
      <c r="O32" s="214">
        <v>327891.98278699862</v>
      </c>
      <c r="P32" s="219">
        <f t="shared" si="1"/>
        <v>327891.98278699862</v>
      </c>
    </row>
    <row r="33" spans="3:16" x14ac:dyDescent="0.2">
      <c r="C33" s="216"/>
      <c r="D33" s="210" t="s">
        <v>612</v>
      </c>
      <c r="E33" s="217">
        <v>53509</v>
      </c>
      <c r="F33" s="138" t="str">
        <f t="shared" si="0"/>
        <v>2046-47</v>
      </c>
      <c r="H33" s="173" t="s">
        <v>190</v>
      </c>
      <c r="I33" s="174">
        <v>25184.239534746859</v>
      </c>
      <c r="J33" s="168">
        <v>1</v>
      </c>
      <c r="K33" s="47"/>
      <c r="L33" s="216"/>
      <c r="M33" s="216"/>
      <c r="N33" s="145"/>
      <c r="O33" s="214">
        <v>473162.20860562735</v>
      </c>
      <c r="P33" s="219">
        <f t="shared" si="1"/>
        <v>473162.20860562735</v>
      </c>
    </row>
    <row r="34" spans="3:16" x14ac:dyDescent="0.2">
      <c r="C34" s="216"/>
      <c r="D34" s="210" t="s">
        <v>613</v>
      </c>
      <c r="E34" s="217">
        <v>53509</v>
      </c>
      <c r="F34" s="138" t="str">
        <f t="shared" si="0"/>
        <v>2046-47</v>
      </c>
      <c r="H34" s="173" t="s">
        <v>190</v>
      </c>
      <c r="I34" s="174">
        <v>25184.239534746859</v>
      </c>
      <c r="J34" s="168">
        <v>1</v>
      </c>
      <c r="K34" s="47"/>
      <c r="L34" s="216"/>
      <c r="M34" s="216"/>
      <c r="N34" s="145"/>
      <c r="O34" s="214">
        <v>332921.47327509697</v>
      </c>
      <c r="P34" s="219">
        <f t="shared" si="1"/>
        <v>332921.47327509697</v>
      </c>
    </row>
    <row r="35" spans="3:16" x14ac:dyDescent="0.2">
      <c r="C35" s="216"/>
      <c r="D35" s="210" t="s">
        <v>612</v>
      </c>
      <c r="E35" s="217">
        <v>53874</v>
      </c>
      <c r="F35" s="138" t="str">
        <f t="shared" si="0"/>
        <v>2047-48</v>
      </c>
      <c r="H35" s="173" t="s">
        <v>190</v>
      </c>
      <c r="I35" s="174">
        <v>25184.239534746859</v>
      </c>
      <c r="J35" s="168">
        <v>1</v>
      </c>
      <c r="K35" s="47"/>
      <c r="L35" s="216"/>
      <c r="M35" s="216"/>
      <c r="N35" s="145"/>
      <c r="O35" s="214">
        <v>473162.20860562735</v>
      </c>
      <c r="P35" s="219">
        <f t="shared" si="1"/>
        <v>473162.20860562735</v>
      </c>
    </row>
    <row r="36" spans="3:16" x14ac:dyDescent="0.2">
      <c r="C36" s="216"/>
      <c r="D36" s="210" t="s">
        <v>613</v>
      </c>
      <c r="E36" s="217">
        <v>53874</v>
      </c>
      <c r="F36" s="138" t="str">
        <f t="shared" si="0"/>
        <v>2047-48</v>
      </c>
      <c r="H36" s="173" t="s">
        <v>190</v>
      </c>
      <c r="I36" s="174">
        <v>25184.239534746859</v>
      </c>
      <c r="J36" s="168">
        <v>1</v>
      </c>
      <c r="K36" s="47"/>
      <c r="L36" s="216"/>
      <c r="M36" s="216"/>
      <c r="N36" s="145"/>
      <c r="O36" s="214">
        <v>332921.47327509697</v>
      </c>
      <c r="P36" s="219">
        <f t="shared" si="1"/>
        <v>332921.47327509697</v>
      </c>
    </row>
    <row r="37" spans="3:16" x14ac:dyDescent="0.2">
      <c r="C37" s="216"/>
      <c r="D37" s="210" t="s">
        <v>612</v>
      </c>
      <c r="E37" s="217">
        <v>54240</v>
      </c>
      <c r="F37" s="138" t="str">
        <f t="shared" si="0"/>
        <v>2048-49</v>
      </c>
      <c r="H37" s="173" t="s">
        <v>190</v>
      </c>
      <c r="I37" s="174">
        <v>25184.239534746859</v>
      </c>
      <c r="J37" s="168">
        <f>J36</f>
        <v>1</v>
      </c>
      <c r="K37" s="47"/>
      <c r="L37" s="216"/>
      <c r="M37" s="216"/>
      <c r="N37" s="145"/>
      <c r="O37" s="214">
        <v>484867.05550789123</v>
      </c>
      <c r="P37" s="219">
        <f t="shared" si="1"/>
        <v>484867.05550789123</v>
      </c>
    </row>
    <row r="38" spans="3:16" x14ac:dyDescent="0.2">
      <c r="C38" s="216"/>
      <c r="D38" s="210" t="s">
        <v>613</v>
      </c>
      <c r="E38" s="217">
        <v>54240</v>
      </c>
      <c r="F38" s="138" t="str">
        <f t="shared" si="0"/>
        <v>2048-49</v>
      </c>
      <c r="H38" s="173" t="s">
        <v>190</v>
      </c>
      <c r="I38" s="174">
        <v>25184.239534746859</v>
      </c>
      <c r="J38" s="168">
        <v>1</v>
      </c>
      <c r="K38" s="47"/>
      <c r="L38" s="216"/>
      <c r="M38" s="216"/>
      <c r="N38" s="145"/>
      <c r="O38" s="214">
        <v>332921.47327509697</v>
      </c>
      <c r="P38" s="219">
        <f t="shared" si="1"/>
        <v>332921.47327509697</v>
      </c>
    </row>
    <row r="39" spans="3:16" x14ac:dyDescent="0.2">
      <c r="C39" s="216"/>
      <c r="D39" s="210" t="s">
        <v>612</v>
      </c>
      <c r="E39" s="217">
        <v>54605</v>
      </c>
      <c r="F39" s="138" t="str">
        <f t="shared" si="0"/>
        <v>2049-50</v>
      </c>
      <c r="H39" s="173" t="s">
        <v>190</v>
      </c>
      <c r="I39" s="174">
        <v>25184.239534746859</v>
      </c>
      <c r="J39" s="168">
        <v>1</v>
      </c>
      <c r="K39" s="47"/>
      <c r="L39" s="216"/>
      <c r="M39" s="216"/>
      <c r="N39" s="145"/>
      <c r="O39" s="214">
        <v>502160.8481761319</v>
      </c>
      <c r="P39" s="219">
        <f t="shared" si="1"/>
        <v>502160.8481761319</v>
      </c>
    </row>
    <row r="40" spans="3:16" x14ac:dyDescent="0.2">
      <c r="C40" s="216"/>
      <c r="D40" s="210" t="s">
        <v>613</v>
      </c>
      <c r="E40" s="217">
        <v>54605</v>
      </c>
      <c r="F40" s="138" t="str">
        <f t="shared" si="0"/>
        <v>2049-50</v>
      </c>
      <c r="H40" s="173" t="s">
        <v>190</v>
      </c>
      <c r="I40" s="174">
        <v>25184.239534746859</v>
      </c>
      <c r="J40" s="168">
        <v>1</v>
      </c>
      <c r="K40" s="47"/>
      <c r="L40" s="216"/>
      <c r="M40" s="216"/>
      <c r="N40" s="145"/>
      <c r="O40" s="214">
        <v>332921.47327509697</v>
      </c>
      <c r="P40" s="219">
        <f t="shared" si="1"/>
        <v>332921.47327509697</v>
      </c>
    </row>
    <row r="41" spans="3:16" x14ac:dyDescent="0.2">
      <c r="C41" s="216"/>
      <c r="D41" s="210" t="s">
        <v>612</v>
      </c>
      <c r="E41" s="217">
        <v>54970</v>
      </c>
      <c r="F41" s="138" t="str">
        <f t="shared" si="0"/>
        <v>2050-51</v>
      </c>
      <c r="H41" s="173" t="s">
        <v>190</v>
      </c>
      <c r="I41" s="174">
        <v>25184.239534746859</v>
      </c>
      <c r="J41" s="168">
        <v>1</v>
      </c>
      <c r="K41" s="47"/>
      <c r="L41" s="216"/>
      <c r="M41" s="216"/>
      <c r="N41" s="145"/>
      <c r="O41" s="214">
        <v>504618.27728926251</v>
      </c>
      <c r="P41" s="219">
        <f t="shared" si="1"/>
        <v>504618.27728926251</v>
      </c>
    </row>
    <row r="42" spans="3:16" x14ac:dyDescent="0.2">
      <c r="C42" s="216"/>
      <c r="D42" s="210" t="s">
        <v>613</v>
      </c>
      <c r="E42" s="217">
        <v>54970</v>
      </c>
      <c r="F42" s="138" t="str">
        <f t="shared" si="0"/>
        <v>2050-51</v>
      </c>
      <c r="H42" s="173" t="s">
        <v>190</v>
      </c>
      <c r="I42" s="174">
        <v>25184.239534746859</v>
      </c>
      <c r="J42" s="168">
        <v>1</v>
      </c>
      <c r="K42" s="47"/>
      <c r="L42" s="216"/>
      <c r="M42" s="216"/>
      <c r="N42" s="145"/>
      <c r="O42" s="214">
        <v>357860.22023887449</v>
      </c>
      <c r="P42" s="219">
        <f t="shared" si="1"/>
        <v>357860.22023887449</v>
      </c>
    </row>
    <row r="43" spans="3:16" x14ac:dyDescent="0.2">
      <c r="C43" s="216"/>
      <c r="D43" s="210" t="s">
        <v>612</v>
      </c>
      <c r="E43" s="217">
        <v>55335</v>
      </c>
      <c r="F43" s="138" t="str">
        <f t="shared" si="0"/>
        <v>2051-52</v>
      </c>
      <c r="H43" s="173" t="s">
        <v>190</v>
      </c>
      <c r="I43" s="174">
        <v>25184.239534746859</v>
      </c>
      <c r="J43" s="168">
        <v>1</v>
      </c>
      <c r="K43" s="47"/>
      <c r="L43" s="216"/>
      <c r="M43" s="216"/>
      <c r="N43" s="145"/>
      <c r="O43" s="214">
        <v>745010.4370470891</v>
      </c>
      <c r="P43" s="219">
        <f t="shared" si="1"/>
        <v>745010.4370470891</v>
      </c>
    </row>
    <row r="44" spans="3:16" x14ac:dyDescent="0.2">
      <c r="C44" s="216"/>
      <c r="D44" s="210" t="s">
        <v>613</v>
      </c>
      <c r="E44" s="217">
        <v>55335</v>
      </c>
      <c r="F44" s="138" t="str">
        <f t="shared" si="0"/>
        <v>2051-52</v>
      </c>
      <c r="H44" s="173" t="s">
        <v>190</v>
      </c>
      <c r="I44" s="174">
        <v>25184.239534746859</v>
      </c>
      <c r="J44" s="168">
        <v>1</v>
      </c>
      <c r="K44" s="47"/>
      <c r="L44" s="216"/>
      <c r="M44" s="216"/>
      <c r="N44" s="145"/>
      <c r="O44" s="214">
        <v>408552.91152846045</v>
      </c>
      <c r="P44" s="219">
        <f t="shared" si="1"/>
        <v>408552.91152846045</v>
      </c>
    </row>
    <row r="45" spans="3:16" x14ac:dyDescent="0.2">
      <c r="C45" s="216"/>
      <c r="D45" s="210" t="s">
        <v>612</v>
      </c>
      <c r="E45" s="217">
        <v>55701</v>
      </c>
      <c r="F45" s="138" t="str">
        <f t="shared" si="0"/>
        <v>2052-53</v>
      </c>
      <c r="H45" s="173" t="s">
        <v>190</v>
      </c>
      <c r="I45" s="174">
        <v>25184.239534746859</v>
      </c>
      <c r="J45" s="168">
        <v>1</v>
      </c>
      <c r="K45" s="47"/>
      <c r="L45" s="216"/>
      <c r="M45" s="216"/>
      <c r="N45" s="145"/>
      <c r="O45" s="214">
        <v>746579.15463027149</v>
      </c>
      <c r="P45" s="219">
        <f t="shared" si="1"/>
        <v>746579.15463027149</v>
      </c>
    </row>
    <row r="46" spans="3:16" x14ac:dyDescent="0.2">
      <c r="C46" s="216"/>
      <c r="D46" s="210" t="s">
        <v>613</v>
      </c>
      <c r="E46" s="217">
        <v>55701</v>
      </c>
      <c r="F46" s="138" t="str">
        <f t="shared" si="0"/>
        <v>2052-53</v>
      </c>
      <c r="H46" s="173" t="s">
        <v>190</v>
      </c>
      <c r="I46" s="174">
        <v>25184.239534746859</v>
      </c>
      <c r="J46" s="168">
        <v>1</v>
      </c>
      <c r="K46" s="47"/>
      <c r="L46" s="216"/>
      <c r="M46" s="216"/>
      <c r="N46" s="145"/>
      <c r="O46" s="214">
        <v>499869.24127509695</v>
      </c>
      <c r="P46" s="219">
        <f t="shared" si="1"/>
        <v>499869.24127509695</v>
      </c>
    </row>
    <row r="47" spans="3:16" x14ac:dyDescent="0.2">
      <c r="C47" s="216"/>
      <c r="D47" s="210" t="s">
        <v>612</v>
      </c>
      <c r="E47" s="217">
        <v>56066</v>
      </c>
      <c r="F47" s="138" t="str">
        <f t="shared" si="0"/>
        <v>2053-54</v>
      </c>
      <c r="H47" s="173" t="s">
        <v>190</v>
      </c>
      <c r="I47" s="174">
        <v>25184.239534746859</v>
      </c>
      <c r="J47" s="168">
        <v>1</v>
      </c>
      <c r="K47" s="47"/>
      <c r="L47" s="216"/>
      <c r="M47" s="216"/>
      <c r="N47" s="145"/>
      <c r="O47" s="214">
        <v>746579.15463027149</v>
      </c>
      <c r="P47" s="219">
        <f t="shared" si="1"/>
        <v>746579.15463027149</v>
      </c>
    </row>
    <row r="48" spans="3:16" x14ac:dyDescent="0.2">
      <c r="C48" s="216"/>
      <c r="D48" s="210" t="s">
        <v>613</v>
      </c>
      <c r="E48" s="217">
        <v>56066</v>
      </c>
      <c r="F48" s="138" t="str">
        <f t="shared" si="0"/>
        <v>2053-54</v>
      </c>
      <c r="H48" s="173" t="s">
        <v>190</v>
      </c>
      <c r="I48" s="174">
        <v>25184.239534746859</v>
      </c>
      <c r="J48" s="168">
        <v>1</v>
      </c>
      <c r="K48" s="47"/>
      <c r="L48" s="216"/>
      <c r="M48" s="216"/>
      <c r="N48" s="145"/>
      <c r="O48" s="214">
        <v>499869.24127509695</v>
      </c>
      <c r="P48" s="219">
        <f t="shared" si="1"/>
        <v>499869.24127509695</v>
      </c>
    </row>
    <row r="49" spans="3:16" x14ac:dyDescent="0.2">
      <c r="C49" s="216"/>
      <c r="D49" s="210" t="s">
        <v>612</v>
      </c>
      <c r="E49" s="217">
        <v>56431</v>
      </c>
      <c r="F49" s="138" t="str">
        <f t="shared" si="0"/>
        <v>2054-55</v>
      </c>
      <c r="H49" s="173" t="s">
        <v>190</v>
      </c>
      <c r="I49" s="174">
        <v>25184.239534746859</v>
      </c>
      <c r="J49" s="168">
        <v>1</v>
      </c>
      <c r="K49" s="47"/>
      <c r="L49" s="216"/>
      <c r="M49" s="216"/>
      <c r="N49" s="145"/>
      <c r="O49" s="214">
        <v>746579.15463027149</v>
      </c>
      <c r="P49" s="219">
        <f t="shared" si="1"/>
        <v>746579.15463027149</v>
      </c>
    </row>
    <row r="50" spans="3:16" ht="9" customHeight="1" x14ac:dyDescent="0.2">
      <c r="C50" s="216"/>
      <c r="D50" s="210" t="s">
        <v>613</v>
      </c>
      <c r="E50" s="217">
        <v>56431</v>
      </c>
      <c r="F50" s="138" t="str">
        <f t="shared" si="0"/>
        <v>2054-55</v>
      </c>
      <c r="H50" s="173" t="s">
        <v>190</v>
      </c>
      <c r="I50" s="174">
        <v>25184.239534746859</v>
      </c>
      <c r="J50" s="168">
        <v>1</v>
      </c>
      <c r="K50" s="47"/>
      <c r="L50" s="216"/>
      <c r="M50" s="216"/>
      <c r="N50" s="145"/>
      <c r="O50" s="214">
        <v>542638.28896591195</v>
      </c>
      <c r="P50" s="219">
        <f t="shared" si="1"/>
        <v>542638.28896591195</v>
      </c>
    </row>
    <row r="51" spans="3:16" x14ac:dyDescent="0.2">
      <c r="C51" s="216"/>
      <c r="D51" s="210"/>
      <c r="E51" s="217"/>
      <c r="F51" s="138"/>
      <c r="H51" s="173"/>
      <c r="I51" s="174"/>
      <c r="J51" s="168"/>
      <c r="K51" s="47"/>
      <c r="L51" s="216"/>
      <c r="M51" s="216"/>
      <c r="N51" s="145"/>
      <c r="O51" s="214"/>
      <c r="P51" s="219"/>
    </row>
    <row r="52" spans="3:16" x14ac:dyDescent="0.2">
      <c r="C52" s="216"/>
      <c r="D52" s="210"/>
      <c r="E52" s="217"/>
      <c r="F52" s="138"/>
      <c r="H52" s="173"/>
      <c r="I52" s="174"/>
      <c r="J52" s="168"/>
      <c r="K52" s="47"/>
      <c r="L52" s="216"/>
      <c r="M52" s="216"/>
      <c r="N52" s="145"/>
      <c r="O52" s="214"/>
      <c r="P52" s="219"/>
    </row>
    <row r="53" spans="3:16" x14ac:dyDescent="0.2">
      <c r="C53" s="216"/>
      <c r="D53" s="210"/>
      <c r="E53" s="217"/>
      <c r="F53" s="138"/>
      <c r="H53" s="173"/>
      <c r="I53" s="174"/>
      <c r="J53" s="168"/>
      <c r="K53" s="47"/>
      <c r="L53" s="216"/>
      <c r="M53" s="216"/>
      <c r="N53" s="145"/>
      <c r="O53" s="214"/>
      <c r="P53" s="219"/>
    </row>
    <row r="54" spans="3:16" x14ac:dyDescent="0.2">
      <c r="C54" s="216"/>
      <c r="D54" s="210"/>
      <c r="E54" s="217"/>
      <c r="F54" s="138"/>
      <c r="H54" s="173"/>
      <c r="I54" s="174"/>
      <c r="J54" s="168"/>
      <c r="K54" s="47"/>
      <c r="L54" s="216"/>
      <c r="M54" s="216"/>
      <c r="N54" s="145"/>
      <c r="O54" s="214"/>
      <c r="P54" s="219"/>
    </row>
    <row r="55" spans="3:16" ht="57" x14ac:dyDescent="0.2">
      <c r="C55" s="221"/>
      <c r="D55" s="156" t="str">
        <f ca="1">"Add rows above this point as required and copy formula down.  It is important to add rows above this point as this will ensure the formula on the '"&amp;MID(CELL("filename",'MP Calculations'!$A$1),FIND("]",CELL("filename",'MP Calculations'!$A$1))+1,255)&amp;"' worksheet will incorporate the information included in the additional rows. "</f>
        <v xml:space="preserve">Add rows above this point as required and copy formula down.  It is important to add rows above this point as this will ensure the formula on the 'MP Calculations' worksheet will incorporate the information included in the additional rows. </v>
      </c>
      <c r="E55" s="222"/>
      <c r="F55" s="155" t="str">
        <f t="shared" ref="F55" si="2">IF(E55="","-",IF(E55&lt;$E$15,"ERROR - date outside of range",IF(MONTH(E55)&gt;=7,YEAR(E55)&amp;"-"&amp;RIGHT(YEAR(E55),2)+1,YEAR(E55)-1&amp;"-"&amp;RIGHT(YEAR(E55),2))))</f>
        <v>-</v>
      </c>
      <c r="H55" s="180"/>
      <c r="I55" s="223"/>
      <c r="J55" s="182" t="str">
        <f>IFERROR(MIN('MP Calculations'!$E$29/I55,1),"-")</f>
        <v>-</v>
      </c>
      <c r="L55" s="206"/>
      <c r="M55" s="206"/>
      <c r="N55" s="224"/>
      <c r="O55" s="225"/>
      <c r="P55" s="226">
        <f t="shared" ref="P55" si="3">IF(O55="-","-",IF(E55&lt;$E$15,0,O55*J55))</f>
        <v>0</v>
      </c>
    </row>
  </sheetData>
  <sheetProtection algorithmName="SHA-512" hashValue="4PqywfK2I1EwOpVs0pHXzbR2wrMaUvcaOsbuGr8JyEyGGUconN/BaoIdika8uUDiJPHl3tXquIoTVqxt1Y9Gxw==" saltValue="XFn2tuZ6+Em1eDG5qpZJhw==" spinCount="100000" sheet="1" objects="1" scenarios="1"/>
  <conditionalFormatting sqref="F22:F55">
    <cfRule type="containsText" dxfId="1" priority="2" operator="containsText" text="ERROR">
      <formula>NOT(ISERROR(SEARCH("ERROR",F22)))</formula>
    </cfRule>
  </conditionalFormatting>
  <conditionalFormatting sqref="J22:J55">
    <cfRule type="cellIs" dxfId="0" priority="1" operator="equal">
      <formula>1</formula>
    </cfRule>
  </conditionalFormatting>
  <hyperlinks>
    <hyperlink ref="E7" location="'Asset exclusions'!A1" display="'Asset exclusions'!A1" xr:uid="{00000000-0004-0000-0700-000000000000}"/>
  </hyperlink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0C0D66C874C743A5D67F5EEEB364F1" ma:contentTypeVersion="18" ma:contentTypeDescription="Create a new document." ma:contentTypeScope="" ma:versionID="fc1effea857fbf8c0f16eab967436a69">
  <xsd:schema xmlns:xsd="http://www.w3.org/2001/XMLSchema" xmlns:xs="http://www.w3.org/2001/XMLSchema" xmlns:p="http://schemas.microsoft.com/office/2006/metadata/properties" xmlns:ns2="40d10ba5-7257-411c-ad48-de4f33734784" xmlns:ns3="f8e4eda1-0873-4d81-ae21-8d269cd80a47" targetNamespace="http://schemas.microsoft.com/office/2006/metadata/properties" ma:root="true" ma:fieldsID="4c7e69747d0794379e0a04af329dadad" ns2:_="" ns3:_="">
    <xsd:import namespace="40d10ba5-7257-411c-ad48-de4f33734784"/>
    <xsd:import namespace="f8e4eda1-0873-4d81-ae21-8d269cd80a4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d10ba5-7257-411c-ad48-de4f337347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9e01b71-7c18-4006-bfa5-456d3a880d6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8e4eda1-0873-4d81-ae21-8d269cd80a4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eaf0e8a-4405-4956-b62c-5478b9824835}" ma:internalName="TaxCatchAll" ma:showField="CatchAllData" ma:web="f8e4eda1-0873-4d81-ae21-8d269cd80a4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0d10ba5-7257-411c-ad48-de4f33734784">
      <Terms xmlns="http://schemas.microsoft.com/office/infopath/2007/PartnerControls"/>
    </lcf76f155ced4ddcb4097134ff3c332f>
    <TaxCatchAll xmlns="f8e4eda1-0873-4d81-ae21-8d269cd80a47"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457FA5B-7299-402E-8F3A-0C8052798A8F}"/>
</file>

<file path=customXml/itemProps2.xml><?xml version="1.0" encoding="utf-8"?>
<ds:datastoreItem xmlns:ds="http://schemas.openxmlformats.org/officeDocument/2006/customXml" ds:itemID="{4E92686B-109C-4C2E-9EB9-58A7DA8EFFF0}">
  <ds:schemaRefs>
    <ds:schemaRef ds:uri="http://schemas.microsoft.com/office/2006/metadata/properties"/>
    <ds:schemaRef ds:uri="http://schemas.microsoft.com/office/infopath/2007/PartnerControls"/>
    <ds:schemaRef ds:uri="37dbf6c8-2d13-4cc8-b9cc-158f7eeca08b"/>
    <ds:schemaRef ds:uri="adaf1f68-63ae-4574-8325-2993fa162e81"/>
  </ds:schemaRefs>
</ds:datastoreItem>
</file>

<file path=customXml/itemProps3.xml><?xml version="1.0" encoding="utf-8"?>
<ds:datastoreItem xmlns:ds="http://schemas.openxmlformats.org/officeDocument/2006/customXml" ds:itemID="{F7324545-89A4-45ED-9194-47AEDC4BF9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Cover</vt:lpstr>
      <vt:lpstr>Journal of changes</vt:lpstr>
      <vt:lpstr>Summary of result</vt:lpstr>
      <vt:lpstr>MP Calculations</vt:lpstr>
      <vt:lpstr>General inputs</vt:lpstr>
      <vt:lpstr>Pre-1996 assets</vt:lpstr>
      <vt:lpstr>Post-1996 commissioned assets</vt:lpstr>
      <vt:lpstr>ET inputs</vt:lpstr>
      <vt:lpstr>Uncommissioned assets</vt:lpstr>
      <vt:lpstr>Reduction amount</vt:lpstr>
      <vt:lpstr>Headwork assets</vt:lpstr>
      <vt:lpstr>Scheme cost allocation</vt:lpstr>
      <vt:lpstr>Asset exclusions</vt:lpstr>
      <vt:lpstr>Cover!Print_Area</vt:lpstr>
    </vt:vector>
  </TitlesOfParts>
  <Manager/>
  <Company>IPART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Greg McLennan</dc:creator>
  <cp:keywords/>
  <dc:description/>
  <cp:lastModifiedBy>Daniel Galassi</cp:lastModifiedBy>
  <cp:revision/>
  <dcterms:created xsi:type="dcterms:W3CDTF">2014-05-19T07:21:06Z</dcterms:created>
  <dcterms:modified xsi:type="dcterms:W3CDTF">2025-11-28T00:15:15Z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0x010100710C0D66C874C743A5D67F5EEEB364F1</vt:lpwstr>
  </property>
  <property fmtid="{D5CDD505-2E9C-101B-9397-08002B2CF9AE}" pid="3" name="MediaServiceImageTags">
    <vt:lpwstr/>
  </property>
</Properties>
</file>